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\Desktop\Parish Council\"/>
    </mc:Choice>
  </mc:AlternateContent>
  <xr:revisionPtr revIDLastSave="0" documentId="8_{8012348A-0780-46DB-B6E9-03EDEED8D17C}" xr6:coauthVersionLast="47" xr6:coauthVersionMax="47" xr10:uidLastSave="{00000000-0000-0000-0000-000000000000}"/>
  <bookViews>
    <workbookView xWindow="20370" yWindow="-120" windowWidth="29040" windowHeight="15840" activeTab="3" xr2:uid="{EBC43DA7-5E73-4F62-B64A-648D62D4F433}"/>
  </bookViews>
  <sheets>
    <sheet name="Expenditure Profile" sheetId="1" r:id="rId1"/>
    <sheet name="Expenditure Other" sheetId="2" r:id="rId2"/>
    <sheet name="Expenditure" sheetId="3" r:id="rId3"/>
    <sheet name="Bank Reconciliation" sheetId="4" r:id="rId4"/>
    <sheet name="Receipts" sheetId="5" r:id="rId5"/>
    <sheet name="Payments" sheetId="6" r:id="rId6"/>
    <sheet name="VAT return" sheetId="7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G62" i="7" l="1"/>
  <c r="H62" i="7"/>
  <c r="I62" i="7" s="1"/>
  <c r="G63" i="7"/>
  <c r="H63" i="7"/>
  <c r="I63" i="7" s="1"/>
  <c r="G64" i="7"/>
  <c r="H64" i="7"/>
  <c r="I64" i="7" s="1"/>
  <c r="G65" i="7"/>
  <c r="H65" i="7"/>
  <c r="I65" i="7" s="1"/>
  <c r="G66" i="7"/>
  <c r="H66" i="7"/>
  <c r="I66" i="7"/>
  <c r="AF65" i="6" l="1"/>
  <c r="P65" i="6"/>
  <c r="E65" i="6"/>
  <c r="E70" i="6"/>
  <c r="E69" i="6"/>
  <c r="E68" i="6"/>
  <c r="E67" i="6"/>
  <c r="E66" i="6"/>
  <c r="E64" i="6"/>
  <c r="E63" i="6"/>
  <c r="E62" i="6"/>
  <c r="F95" i="4"/>
  <c r="X21" i="6"/>
  <c r="J27" i="1"/>
  <c r="J35" i="1" s="1"/>
  <c r="Z52" i="6"/>
  <c r="E54" i="6"/>
  <c r="E55" i="6"/>
  <c r="E56" i="6"/>
  <c r="E57" i="6"/>
  <c r="E58" i="6"/>
  <c r="E59" i="6"/>
  <c r="E60" i="6"/>
  <c r="I29" i="1"/>
  <c r="I35" i="1" s="1"/>
  <c r="AF52" i="6"/>
  <c r="G35" i="1"/>
  <c r="H35" i="1"/>
  <c r="K35" i="1"/>
  <c r="L35" i="1"/>
  <c r="M35" i="1"/>
  <c r="N35" i="1"/>
  <c r="O35" i="1"/>
  <c r="E20" i="1"/>
  <c r="G20" i="1"/>
  <c r="H20" i="1"/>
  <c r="I20" i="1"/>
  <c r="J20" i="1"/>
  <c r="K20" i="1"/>
  <c r="L20" i="1"/>
  <c r="M20" i="1"/>
  <c r="N20" i="1"/>
  <c r="O20" i="1"/>
  <c r="I27" i="1"/>
  <c r="AF50" i="6"/>
  <c r="E61" i="6"/>
  <c r="E71" i="6"/>
  <c r="E72" i="6"/>
  <c r="E73" i="6"/>
  <c r="E53" i="6"/>
  <c r="E48" i="6"/>
  <c r="E49" i="6"/>
  <c r="E50" i="6"/>
  <c r="E51" i="6"/>
  <c r="G51" i="7"/>
  <c r="H51" i="7"/>
  <c r="I51" i="7" s="1"/>
  <c r="G52" i="7"/>
  <c r="H52" i="7"/>
  <c r="I52" i="7" s="1"/>
  <c r="G53" i="7"/>
  <c r="H53" i="7"/>
  <c r="I53" i="7" s="1"/>
  <c r="G57" i="7"/>
  <c r="H57" i="7"/>
  <c r="I57" i="7" s="1"/>
  <c r="G58" i="7"/>
  <c r="H58" i="7"/>
  <c r="I58" i="7" s="1"/>
  <c r="G59" i="7"/>
  <c r="H59" i="7"/>
  <c r="I59" i="7" s="1"/>
  <c r="G60" i="7"/>
  <c r="H60" i="7"/>
  <c r="I60" i="7" s="1"/>
  <c r="G61" i="7"/>
  <c r="H61" i="7"/>
  <c r="I61" i="7" s="1"/>
  <c r="I12" i="2"/>
  <c r="E12" i="2"/>
  <c r="C12" i="2"/>
  <c r="B12" i="2"/>
  <c r="I9" i="2"/>
  <c r="I10" i="2"/>
  <c r="I11" i="2"/>
  <c r="E43" i="6"/>
  <c r="E44" i="6"/>
  <c r="E45" i="6"/>
  <c r="E46" i="6"/>
  <c r="E47" i="6"/>
  <c r="B46" i="1"/>
  <c r="I16" i="2"/>
  <c r="B49" i="1" s="1"/>
  <c r="E15" i="2"/>
  <c r="I15" i="2" s="1"/>
  <c r="I14" i="2"/>
  <c r="B48" i="1" s="1"/>
  <c r="E52" i="6" l="1"/>
  <c r="I60" i="2"/>
  <c r="B51" i="1" s="1"/>
  <c r="I58" i="2"/>
  <c r="B50" i="1" s="1"/>
  <c r="AK42" i="6" l="1"/>
  <c r="E42" i="6" s="1"/>
  <c r="I8" i="2"/>
  <c r="B47" i="1" s="1"/>
  <c r="P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3" i="5"/>
  <c r="D12" i="5"/>
  <c r="D11" i="5"/>
  <c r="D10" i="5"/>
  <c r="D9" i="5"/>
  <c r="D8" i="5"/>
  <c r="D14" i="5"/>
  <c r="P38" i="6"/>
  <c r="I38" i="6"/>
  <c r="H50" i="7"/>
  <c r="I50" i="7" s="1"/>
  <c r="G50" i="7"/>
  <c r="H49" i="7"/>
  <c r="I49" i="7" s="1"/>
  <c r="G49" i="7"/>
  <c r="H48" i="7"/>
  <c r="I48" i="7" s="1"/>
  <c r="G48" i="7"/>
  <c r="H47" i="7"/>
  <c r="I47" i="7" s="1"/>
  <c r="G47" i="7"/>
  <c r="AF38" i="6"/>
  <c r="E37" i="6"/>
  <c r="E35" i="6"/>
  <c r="F32" i="1" s="1"/>
  <c r="P32" i="1" s="1"/>
  <c r="Q32" i="1" s="1"/>
  <c r="F74" i="4"/>
  <c r="E32" i="6"/>
  <c r="F33" i="1" s="1"/>
  <c r="E33" i="6"/>
  <c r="F29" i="1" s="1"/>
  <c r="E34" i="6" l="1"/>
  <c r="F21" i="1" s="1"/>
  <c r="F35" i="1" s="1"/>
  <c r="E30" i="3"/>
  <c r="G30" i="3" s="1"/>
  <c r="D26" i="1"/>
  <c r="E22" i="1"/>
  <c r="D22" i="1"/>
  <c r="D19" i="1"/>
  <c r="AO75" i="6"/>
  <c r="AN75" i="6"/>
  <c r="AM75" i="6"/>
  <c r="AL75" i="6"/>
  <c r="AK75" i="6"/>
  <c r="AJ75" i="6"/>
  <c r="AI75" i="6"/>
  <c r="AH75" i="6"/>
  <c r="AG75" i="6"/>
  <c r="AF75" i="6"/>
  <c r="AE75" i="6"/>
  <c r="AD75" i="6"/>
  <c r="AC75" i="6"/>
  <c r="AB75" i="6"/>
  <c r="AA75" i="6"/>
  <c r="Z75" i="6"/>
  <c r="Y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X24" i="6"/>
  <c r="H42" i="7"/>
  <c r="F42" i="7"/>
  <c r="G42" i="7" s="1"/>
  <c r="H41" i="7"/>
  <c r="F41" i="7"/>
  <c r="G41" i="7" s="1"/>
  <c r="F39" i="7"/>
  <c r="G39" i="7" s="1"/>
  <c r="F38" i="7"/>
  <c r="H39" i="7"/>
  <c r="I39" i="7" s="1"/>
  <c r="P34" i="1"/>
  <c r="Q34" i="1" s="1"/>
  <c r="D33" i="3"/>
  <c r="F33" i="3"/>
  <c r="E26" i="1"/>
  <c r="G37" i="7"/>
  <c r="G40" i="7"/>
  <c r="G43" i="7"/>
  <c r="G44" i="7"/>
  <c r="G45" i="7"/>
  <c r="G46" i="7"/>
  <c r="H37" i="7"/>
  <c r="I37" i="7" s="1"/>
  <c r="H38" i="7"/>
  <c r="H40" i="7"/>
  <c r="I40" i="7" s="1"/>
  <c r="H43" i="7"/>
  <c r="H44" i="7"/>
  <c r="I44" i="7" s="1"/>
  <c r="H45" i="7"/>
  <c r="I45" i="7" s="1"/>
  <c r="H46" i="7"/>
  <c r="I46" i="7" s="1"/>
  <c r="I43" i="7"/>
  <c r="G36" i="7"/>
  <c r="H36" i="7"/>
  <c r="I36" i="7" s="1"/>
  <c r="G35" i="7"/>
  <c r="H35" i="7"/>
  <c r="I35" i="7" s="1"/>
  <c r="G34" i="7"/>
  <c r="H34" i="7"/>
  <c r="I34" i="7" s="1"/>
  <c r="G33" i="7"/>
  <c r="H33" i="7"/>
  <c r="I33" i="7" s="1"/>
  <c r="G32" i="7"/>
  <c r="H32" i="7"/>
  <c r="I32" i="7" s="1"/>
  <c r="G31" i="7"/>
  <c r="H31" i="7"/>
  <c r="I31" i="7" s="1"/>
  <c r="G30" i="7"/>
  <c r="H30" i="7"/>
  <c r="I30" i="7" s="1"/>
  <c r="G29" i="7"/>
  <c r="H29" i="7"/>
  <c r="I29" i="7" s="1"/>
  <c r="G28" i="7"/>
  <c r="H28" i="7"/>
  <c r="I28" i="7" s="1"/>
  <c r="G38" i="7" l="1"/>
  <c r="F75" i="7"/>
  <c r="E27" i="1"/>
  <c r="X75" i="6"/>
  <c r="I42" i="7"/>
  <c r="E32" i="3"/>
  <c r="G32" i="3" s="1"/>
  <c r="I41" i="7"/>
  <c r="I38" i="7"/>
  <c r="C33" i="3"/>
  <c r="C35" i="1"/>
  <c r="G36" i="5"/>
  <c r="H24" i="7"/>
  <c r="I24" i="7" s="1"/>
  <c r="H25" i="7"/>
  <c r="I25" i="7" s="1"/>
  <c r="H26" i="7"/>
  <c r="I26" i="7" s="1"/>
  <c r="H27" i="7"/>
  <c r="I27" i="7" s="1"/>
  <c r="G24" i="7"/>
  <c r="G25" i="7"/>
  <c r="G26" i="7"/>
  <c r="G27" i="7"/>
  <c r="E38" i="6"/>
  <c r="E39" i="6"/>
  <c r="E40" i="6"/>
  <c r="E41" i="6"/>
  <c r="H19" i="7"/>
  <c r="I19" i="7" s="1"/>
  <c r="H20" i="7"/>
  <c r="I20" i="7" s="1"/>
  <c r="H21" i="7"/>
  <c r="I21" i="7" s="1"/>
  <c r="H22" i="7"/>
  <c r="I22" i="7" s="1"/>
  <c r="H23" i="7"/>
  <c r="I23" i="7" s="1"/>
  <c r="G19" i="7"/>
  <c r="G20" i="7"/>
  <c r="G21" i="7"/>
  <c r="G22" i="7"/>
  <c r="G23" i="7"/>
  <c r="H18" i="7"/>
  <c r="I18" i="7" s="1"/>
  <c r="G18" i="7"/>
  <c r="E36" i="6"/>
  <c r="F19" i="1" s="1"/>
  <c r="F20" i="1" s="1"/>
  <c r="E74" i="6"/>
  <c r="E27" i="6"/>
  <c r="E28" i="6"/>
  <c r="E29" i="6"/>
  <c r="E23" i="1" s="1"/>
  <c r="E30" i="6"/>
  <c r="E31" i="6"/>
  <c r="E23" i="6"/>
  <c r="E24" i="6"/>
  <c r="E25" i="6"/>
  <c r="E26" i="6"/>
  <c r="E24" i="1" s="1"/>
  <c r="P24" i="1" s="1"/>
  <c r="F96" i="4"/>
  <c r="F110" i="4" s="1"/>
  <c r="E11" i="6"/>
  <c r="E12" i="6"/>
  <c r="E13" i="6"/>
  <c r="E14" i="6"/>
  <c r="E15" i="6"/>
  <c r="E16" i="6"/>
  <c r="E17" i="6"/>
  <c r="E18" i="6"/>
  <c r="E19" i="6"/>
  <c r="D27" i="1" s="1"/>
  <c r="E20" i="6"/>
  <c r="E21" i="6"/>
  <c r="E22" i="6"/>
  <c r="E8" i="6"/>
  <c r="E9" i="6"/>
  <c r="E10" i="6"/>
  <c r="I54" i="2"/>
  <c r="I5" i="2"/>
  <c r="B45" i="1" s="1"/>
  <c r="I19" i="2"/>
  <c r="I21" i="2"/>
  <c r="I22" i="2" s="1"/>
  <c r="I44" i="2"/>
  <c r="I45" i="2" s="1"/>
  <c r="P11" i="1"/>
  <c r="P12" i="1"/>
  <c r="P13" i="1"/>
  <c r="P14" i="1"/>
  <c r="E12" i="3" s="1"/>
  <c r="G12" i="3" s="1"/>
  <c r="P16" i="1"/>
  <c r="E14" i="3" s="1"/>
  <c r="G14" i="3" s="1"/>
  <c r="Q16" i="1"/>
  <c r="P17" i="1"/>
  <c r="P18" i="1"/>
  <c r="P19" i="1"/>
  <c r="C20" i="1"/>
  <c r="C37" i="1" s="1"/>
  <c r="P21" i="1"/>
  <c r="P22" i="1"/>
  <c r="P25" i="1"/>
  <c r="P26" i="1"/>
  <c r="P28" i="1"/>
  <c r="P30" i="1"/>
  <c r="P31" i="1"/>
  <c r="P33" i="1"/>
  <c r="P10" i="1"/>
  <c r="Q10" i="1" s="1"/>
  <c r="F109" i="4"/>
  <c r="C18" i="3"/>
  <c r="E36" i="5"/>
  <c r="F36" i="5"/>
  <c r="H36" i="5"/>
  <c r="I36" i="5"/>
  <c r="J36" i="5"/>
  <c r="K36" i="5"/>
  <c r="M36" i="5"/>
  <c r="L36" i="5"/>
  <c r="N36" i="5"/>
  <c r="O36" i="5"/>
  <c r="F105" i="4"/>
  <c r="E35" i="1" l="1"/>
  <c r="E37" i="1" s="1"/>
  <c r="E8" i="3"/>
  <c r="G8" i="3" s="1"/>
  <c r="Q40" i="5"/>
  <c r="Q36" i="5"/>
  <c r="P27" i="1"/>
  <c r="Q27" i="1" s="1"/>
  <c r="D15" i="1"/>
  <c r="D29" i="1"/>
  <c r="D35" i="1" s="1"/>
  <c r="E23" i="2"/>
  <c r="S37" i="1" s="1"/>
  <c r="H37" i="1"/>
  <c r="O37" i="1"/>
  <c r="E75" i="6"/>
  <c r="G37" i="1"/>
  <c r="K37" i="1"/>
  <c r="Q33" i="1"/>
  <c r="E31" i="3"/>
  <c r="G31" i="3" s="1"/>
  <c r="Q31" i="1"/>
  <c r="E29" i="3"/>
  <c r="G29" i="3" s="1"/>
  <c r="P23" i="1"/>
  <c r="Q19" i="1"/>
  <c r="E17" i="3"/>
  <c r="G17" i="3" s="1"/>
  <c r="Q13" i="1"/>
  <c r="E11" i="3"/>
  <c r="G11" i="3" s="1"/>
  <c r="Q28" i="1"/>
  <c r="E26" i="3"/>
  <c r="G26" i="3" s="1"/>
  <c r="Q30" i="1"/>
  <c r="E28" i="3"/>
  <c r="G28" i="3" s="1"/>
  <c r="Q26" i="1"/>
  <c r="E24" i="3"/>
  <c r="G24" i="3" s="1"/>
  <c r="Q22" i="1"/>
  <c r="E20" i="3"/>
  <c r="G20" i="3" s="1"/>
  <c r="Q18" i="1"/>
  <c r="E16" i="3"/>
  <c r="G16" i="3" s="1"/>
  <c r="Q12" i="1"/>
  <c r="E10" i="3"/>
  <c r="G10" i="3" s="1"/>
  <c r="Q24" i="1"/>
  <c r="E22" i="3"/>
  <c r="G22" i="3" s="1"/>
  <c r="L37" i="1"/>
  <c r="F37" i="1"/>
  <c r="Q25" i="1"/>
  <c r="E23" i="3"/>
  <c r="G23" i="3" s="1"/>
  <c r="Q21" i="1"/>
  <c r="E19" i="3"/>
  <c r="G19" i="3" s="1"/>
  <c r="M37" i="1"/>
  <c r="Q17" i="1"/>
  <c r="E15" i="3"/>
  <c r="G15" i="3" s="1"/>
  <c r="Q14" i="1"/>
  <c r="Q11" i="1"/>
  <c r="E9" i="3"/>
  <c r="G9" i="3" s="1"/>
  <c r="D36" i="5"/>
  <c r="F100" i="4"/>
  <c r="F106" i="4" s="1"/>
  <c r="F111" i="4"/>
  <c r="F113" i="4" s="1"/>
  <c r="B44" i="1" s="1"/>
  <c r="B53" i="1" s="1"/>
  <c r="N37" i="1"/>
  <c r="J37" i="1"/>
  <c r="I37" i="1"/>
  <c r="C35" i="3"/>
  <c r="I23" i="2" l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J35" i="2"/>
  <c r="E25" i="3"/>
  <c r="G25" i="3" s="1"/>
  <c r="P29" i="1"/>
  <c r="P35" i="1" s="1"/>
  <c r="Q35" i="1" s="1"/>
  <c r="D20" i="1"/>
  <c r="P15" i="1"/>
  <c r="P20" i="1" s="1"/>
  <c r="Q23" i="1"/>
  <c r="E21" i="3"/>
  <c r="G21" i="3" s="1"/>
  <c r="Q20" i="1" l="1"/>
  <c r="E27" i="3"/>
  <c r="G27" i="3" s="1"/>
  <c r="G33" i="3" s="1"/>
  <c r="Q29" i="1"/>
  <c r="Q15" i="1"/>
  <c r="E13" i="3"/>
  <c r="D37" i="1"/>
  <c r="P37" i="1" s="1"/>
  <c r="Q37" i="1" l="1"/>
  <c r="U37" i="1"/>
  <c r="E33" i="3"/>
  <c r="G13" i="3"/>
  <c r="G18" i="3" s="1"/>
  <c r="G35" i="3" s="1"/>
  <c r="E18" i="3"/>
  <c r="E35" i="3" l="1"/>
  <c r="J35" i="3" s="1"/>
  <c r="H55" i="7"/>
  <c r="I55" i="7" s="1"/>
  <c r="G55" i="7"/>
  <c r="H56" i="7"/>
  <c r="I56" i="7" s="1"/>
  <c r="G56" i="7"/>
  <c r="G54" i="7"/>
  <c r="H54" i="7"/>
  <c r="I54" i="7" s="1"/>
</calcChain>
</file>

<file path=xl/sharedStrings.xml><?xml version="1.0" encoding="utf-8"?>
<sst xmlns="http://schemas.openxmlformats.org/spreadsheetml/2006/main" count="596" uniqueCount="260">
  <si>
    <t xml:space="preserve">Tetsworth Parish Council </t>
  </si>
  <si>
    <t>BUDGET</t>
  </si>
  <si>
    <t>MAY</t>
  </si>
  <si>
    <t>Actual to</t>
  </si>
  <si>
    <t>Variance</t>
  </si>
  <si>
    <t>To proof</t>
  </si>
  <si>
    <t>£</t>
  </si>
  <si>
    <t>S137</t>
  </si>
  <si>
    <t>Donations S137</t>
  </si>
  <si>
    <t>Repairs and Maintenance</t>
  </si>
  <si>
    <t>Village green maintenance</t>
  </si>
  <si>
    <t>tree maintenance</t>
  </si>
  <si>
    <t>War memorial maintenance</t>
  </si>
  <si>
    <t>Enhancement of village</t>
  </si>
  <si>
    <t>Grass cutting</t>
  </si>
  <si>
    <t>Dog bins</t>
  </si>
  <si>
    <t>Total</t>
  </si>
  <si>
    <t>Fixed</t>
  </si>
  <si>
    <t>Auditors</t>
  </si>
  <si>
    <t>Clerk Salary</t>
  </si>
  <si>
    <t>Insurance</t>
  </si>
  <si>
    <t>Subscriptions</t>
  </si>
  <si>
    <t>Training</t>
  </si>
  <si>
    <t>Travel</t>
  </si>
  <si>
    <t>Office</t>
  </si>
  <si>
    <t>Village hall rental</t>
  </si>
  <si>
    <t>website and quickbooks</t>
  </si>
  <si>
    <t>Professional legal fees</t>
  </si>
  <si>
    <t>Election set aside</t>
  </si>
  <si>
    <t>PWLB repayment</t>
  </si>
  <si>
    <t>CLP</t>
  </si>
  <si>
    <t>NP</t>
  </si>
  <si>
    <t>VAT</t>
  </si>
  <si>
    <t>GRAND TOTAL</t>
  </si>
  <si>
    <t>Earmarked funds budget</t>
  </si>
  <si>
    <t>Opening balance</t>
  </si>
  <si>
    <t>INCOME</t>
  </si>
  <si>
    <t>EXPENDITURE</t>
  </si>
  <si>
    <t>PATCH</t>
  </si>
  <si>
    <t>External budgets</t>
  </si>
  <si>
    <t>Planning appeal</t>
  </si>
  <si>
    <t>TSSC insurance</t>
  </si>
  <si>
    <t>Neighbourhood Plan</t>
  </si>
  <si>
    <t>Estimate</t>
  </si>
  <si>
    <t>Skate park</t>
  </si>
  <si>
    <t>Cheques/payments cleared since previous meeting</t>
  </si>
  <si>
    <t>Receipts since previous meeting</t>
  </si>
  <si>
    <t>Total income this month</t>
  </si>
  <si>
    <t>Sub total</t>
  </si>
  <si>
    <t>TOTAL</t>
  </si>
  <si>
    <t>Cash Book</t>
  </si>
  <si>
    <t>Add: Receipts during period</t>
  </si>
  <si>
    <t>Less: Payments during period</t>
  </si>
  <si>
    <t>Tetsworth Parish Council</t>
  </si>
  <si>
    <t>Date</t>
  </si>
  <si>
    <t>Detail</t>
  </si>
  <si>
    <t>Cheque no:</t>
  </si>
  <si>
    <t>Precept</t>
  </si>
  <si>
    <t>VAT return</t>
  </si>
  <si>
    <t>Rent</t>
  </si>
  <si>
    <t>Interest</t>
  </si>
  <si>
    <t>Wayleaves</t>
  </si>
  <si>
    <t>Insurance repayment</t>
  </si>
  <si>
    <t>Other</t>
  </si>
  <si>
    <t>Planning appeal fund</t>
  </si>
  <si>
    <t xml:space="preserve">Neighbourhood Plan </t>
  </si>
  <si>
    <t>Bank Statement</t>
  </si>
  <si>
    <t>s137</t>
  </si>
  <si>
    <t>Fixed admin</t>
  </si>
  <si>
    <t>Administration expenses</t>
  </si>
  <si>
    <t>EARMARKED FUNDS</t>
  </si>
  <si>
    <t>EXTERNAL BUDGET</t>
  </si>
  <si>
    <t>Authority</t>
  </si>
  <si>
    <t>Cheque no/ date BACS</t>
  </si>
  <si>
    <t>Tree maintenance</t>
  </si>
  <si>
    <t>war memorial maintenance</t>
  </si>
  <si>
    <t>Forest school</t>
  </si>
  <si>
    <t>enhancement of village</t>
  </si>
  <si>
    <t>Contractor for maintenance</t>
  </si>
  <si>
    <t>auditors</t>
  </si>
  <si>
    <t>clerk salary</t>
  </si>
  <si>
    <t>insurance</t>
  </si>
  <si>
    <t>village hall rent</t>
  </si>
  <si>
    <t>Website</t>
  </si>
  <si>
    <t>Others</t>
  </si>
  <si>
    <t xml:space="preserve">VAT </t>
  </si>
  <si>
    <t>Contractor Maintenance</t>
  </si>
  <si>
    <t xml:space="preserve">     CIL</t>
  </si>
  <si>
    <t>Play Area/Skate Ramp</t>
  </si>
  <si>
    <t>OALC</t>
  </si>
  <si>
    <t>Sub Total</t>
  </si>
  <si>
    <t>Emergency Reserve</t>
  </si>
  <si>
    <t>CIL</t>
  </si>
  <si>
    <t>APR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</si>
  <si>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</si>
  <si>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</si>
  <si>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</si>
  <si>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</si>
  <si>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</si>
  <si>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</si>
  <si>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</si>
  <si>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</si>
  <si>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</si>
  <si>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</si>
  <si>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 xml:space="preserve">Grand Total </t>
  </si>
  <si>
    <t>Description</t>
  </si>
  <si>
    <t>Amount</t>
  </si>
  <si>
    <t xml:space="preserve">Amount </t>
  </si>
  <si>
    <t>Neighbourhood Plan Expenses</t>
  </si>
  <si>
    <t>Traveller Site Expenses</t>
  </si>
  <si>
    <t>Tetsworth Parish Council Expenses</t>
  </si>
  <si>
    <t>Subscription</t>
  </si>
  <si>
    <t>Computer Sevice</t>
  </si>
  <si>
    <t>SODC</t>
  </si>
  <si>
    <t>Wiseserve</t>
  </si>
  <si>
    <t>VAT Reclaimed</t>
  </si>
  <si>
    <t xml:space="preserve"> Closing Balance to carry over</t>
  </si>
  <si>
    <t>OCC Grant</t>
  </si>
  <si>
    <t>Play Area</t>
  </si>
  <si>
    <t>PATCH Funds</t>
  </si>
  <si>
    <t>Donations from s137</t>
  </si>
  <si>
    <t>Financial Codes</t>
  </si>
  <si>
    <t>Date Authorised</t>
  </si>
  <si>
    <t>Supplier</t>
  </si>
  <si>
    <t>VAT Number</t>
  </si>
  <si>
    <t>Gross</t>
  </si>
  <si>
    <t>Net</t>
  </si>
  <si>
    <t>Max 20%</t>
  </si>
  <si>
    <t>Inv Date</t>
  </si>
  <si>
    <t>Vodafone</t>
  </si>
  <si>
    <t>Mobile Contract</t>
  </si>
  <si>
    <t>Date paid</t>
  </si>
  <si>
    <t>Public Works Loan</t>
  </si>
  <si>
    <t>Date approv/paid</t>
  </si>
  <si>
    <t>(TSSC to pay back their insurance in monthly installments  x 12 )1x£75.03 and 11 x £74.96</t>
  </si>
  <si>
    <t>Hpinstaink</t>
  </si>
  <si>
    <t>The Sign Shed</t>
  </si>
  <si>
    <t xml:space="preserve">Total expenditure </t>
  </si>
  <si>
    <t>Total expenditure this month</t>
  </si>
  <si>
    <t>Total Income</t>
  </si>
  <si>
    <t>Covid PATCH Signs</t>
  </si>
  <si>
    <t>Printer Ink</t>
  </si>
  <si>
    <t>Opening Balance</t>
  </si>
  <si>
    <t>Payment</t>
  </si>
  <si>
    <t>Electric Fence Online</t>
  </si>
  <si>
    <t>PATCH Corden fencing</t>
  </si>
  <si>
    <t>ONPA Membership NP Jan 2021</t>
  </si>
  <si>
    <t>Dog bin Waste</t>
  </si>
  <si>
    <t>OCC/SODC Grant</t>
  </si>
  <si>
    <t>OCC Grant for wicket gates</t>
  </si>
  <si>
    <t>Estimate of Expenditure year ending 31st March 2022</t>
  </si>
  <si>
    <t>VAT return for year ending 31st March 2022</t>
  </si>
  <si>
    <t>Opening Balance as at 1st April 2021</t>
  </si>
  <si>
    <t>Election Fees</t>
  </si>
  <si>
    <t>Legal Fees</t>
  </si>
  <si>
    <t>Corrected As per statement 08.04.2021</t>
  </si>
  <si>
    <t>DTC</t>
  </si>
  <si>
    <t>Scoop Dotty Dog</t>
  </si>
  <si>
    <t>HMRC</t>
  </si>
  <si>
    <t>H. Croxford</t>
  </si>
  <si>
    <t>CPA Horticulture</t>
  </si>
  <si>
    <t>The Play Inspection Co.</t>
  </si>
  <si>
    <t>DTC (Grass Cutting &amp; Ground Maintenance</t>
  </si>
  <si>
    <t>Scoop Dotty Dog (Waste Disposal)</t>
  </si>
  <si>
    <t>Wiseserve (Email)</t>
  </si>
  <si>
    <t>The Sign Shed (Bench Signs)</t>
  </si>
  <si>
    <t>HMRC (Clerk)</t>
  </si>
  <si>
    <t>H. Croxford (Clerk)</t>
  </si>
  <si>
    <t>CPA Horticulture (Bark)</t>
  </si>
  <si>
    <t>Wiseserve (Domain)</t>
  </si>
  <si>
    <t>DTC (Tree Maintenance)</t>
  </si>
  <si>
    <t>Paul Carr (Zoom)</t>
  </si>
  <si>
    <t>TSSC Insurance Repayment</t>
  </si>
  <si>
    <t>SODC Precept</t>
  </si>
  <si>
    <t>TSSC</t>
  </si>
  <si>
    <t>Bacs</t>
  </si>
  <si>
    <t>LGA 1892 s 8 (1)(i)</t>
  </si>
  <si>
    <t>LA1983 S5</t>
  </si>
  <si>
    <t>LGA 1972 s.142</t>
  </si>
  <si>
    <t>LGA1976 s19</t>
  </si>
  <si>
    <t>HA1980s96</t>
  </si>
  <si>
    <t>LGA 1972 s 112 (2)</t>
  </si>
  <si>
    <t>Grass Cutting</t>
  </si>
  <si>
    <t>PATCH Bark</t>
  </si>
  <si>
    <t>The Play Inspection Co</t>
  </si>
  <si>
    <t>PATCH Inspection</t>
  </si>
  <si>
    <t>Tree Maintenance</t>
  </si>
  <si>
    <t>Total VAT Claim</t>
  </si>
  <si>
    <t>DTC ( Grass Cutting)</t>
  </si>
  <si>
    <t>J Bennet &amp; Son (TSSC)</t>
  </si>
  <si>
    <t>Came &amp; Co</t>
  </si>
  <si>
    <t>Noticeboard Co UK</t>
  </si>
  <si>
    <t>Community Heartbeat Trust</t>
  </si>
  <si>
    <t>Friends of Tetsworth</t>
  </si>
  <si>
    <t>SODC Grant Notice Board</t>
  </si>
  <si>
    <t>C Strange (Tree Works)</t>
  </si>
  <si>
    <t>SODC Grant For Notice Board</t>
  </si>
  <si>
    <t xml:space="preserve">Payment to J Bennet </t>
  </si>
  <si>
    <t>Insta ink</t>
  </si>
  <si>
    <t>Public Work Loan</t>
  </si>
  <si>
    <t>DD</t>
  </si>
  <si>
    <t>COCO Accounting</t>
  </si>
  <si>
    <t>ONPA</t>
  </si>
  <si>
    <t>Pet Waste Solutions</t>
  </si>
  <si>
    <t>Citizens Advice</t>
  </si>
  <si>
    <t>Enrich Oxfordshire</t>
  </si>
  <si>
    <t>Wybone</t>
  </si>
  <si>
    <t>Tree Cutting</t>
  </si>
  <si>
    <t>Dog Bins</t>
  </si>
  <si>
    <t>Surplus allocated to Play Area, CIL and Legal Fees</t>
  </si>
  <si>
    <t>Brought forward from 2019/20  + £302.21 from NP</t>
  </si>
  <si>
    <t>Brought forward from 2019/20</t>
  </si>
  <si>
    <t>Brought forward from 2019/20 £ 500 + £302.21 from NP</t>
  </si>
  <si>
    <t>Bank Balance</t>
  </si>
  <si>
    <t>Available funds for normal expenses</t>
  </si>
  <si>
    <t>New Grant for Wicket Gates. When was this grant received?</t>
  </si>
  <si>
    <t>From Bank Reconciliation</t>
  </si>
  <si>
    <t>CIL Total</t>
  </si>
  <si>
    <t>2020/21</t>
  </si>
  <si>
    <t>Allocation Of Funds - Information Only</t>
  </si>
  <si>
    <t>Brought forward from 2019/20 - £ 40,667.75 - £412.73 for dog bins</t>
  </si>
  <si>
    <t>Open Spaces</t>
  </si>
  <si>
    <t>Broxap</t>
  </si>
  <si>
    <t>D. Wilson</t>
  </si>
  <si>
    <t>CAAOS</t>
  </si>
  <si>
    <t>Broxap - Benches</t>
  </si>
  <si>
    <t>D Wilson - Sign</t>
  </si>
  <si>
    <t>J Copsey</t>
  </si>
  <si>
    <t>Susan Rufus</t>
  </si>
  <si>
    <t xml:space="preserve">O2 </t>
  </si>
  <si>
    <t>Moore Stephens</t>
  </si>
  <si>
    <t>Devey Treecare</t>
  </si>
  <si>
    <t>Cathren Viljoen</t>
  </si>
  <si>
    <t>ICO</t>
  </si>
  <si>
    <t>Receipts to 31st October 2021</t>
  </si>
  <si>
    <t>Payments to 31st October 2021</t>
  </si>
  <si>
    <t xml:space="preserve">T Death n Walters </t>
  </si>
  <si>
    <t>T Nixey</t>
  </si>
  <si>
    <t>O2</t>
  </si>
  <si>
    <t>P Carr</t>
  </si>
  <si>
    <t>Pet Waste Solution</t>
  </si>
  <si>
    <t>D Wilson</t>
  </si>
  <si>
    <t>RBL Poppy Appeal</t>
  </si>
  <si>
    <t>Country Supplies</t>
  </si>
  <si>
    <t>Opening balance as at 1st April 2021</t>
  </si>
  <si>
    <t>Bank Reconciliation 30th November 2021</t>
  </si>
  <si>
    <t>Cleanslate</t>
  </si>
  <si>
    <t>Carolyn Carr</t>
  </si>
  <si>
    <t>Aspire Oxford</t>
  </si>
  <si>
    <t>TSSC Building Ins</t>
  </si>
  <si>
    <t>Cathren Viljoen - VAT Refund</t>
  </si>
  <si>
    <t>Balance as at date 30/11/2021</t>
  </si>
  <si>
    <t>Closing balance as per Cash book 30/11/2021</t>
  </si>
  <si>
    <t>New Parish Notice Board</t>
  </si>
  <si>
    <t>New dog bins</t>
  </si>
  <si>
    <t>Benches for village green</t>
  </si>
  <si>
    <t>New laptop</t>
  </si>
  <si>
    <t>External Audit Review</t>
  </si>
  <si>
    <t>Phone contract</t>
  </si>
  <si>
    <t>Fence posts for patch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</si>
</sst>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B050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u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/>
    <xf numFmtId="0" fontId="0" fillId="0" borderId="0" xfId="0" applyFill="1" applyBorder="1"/>
    <xf numFmtId="164" fontId="0" fillId="0" borderId="0" xfId="0" applyNumberFormat="1"/>
    <xf numFmtId="0" fontId="1" fillId="0" borderId="0" xfId="0" applyFont="1"/>
    <xf numFmtId="164" fontId="0" fillId="0" borderId="0" xfId="0" applyNumberFormat="1" applyBorder="1"/>
    <xf numFmtId="164" fontId="3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164" fontId="4" fillId="0" borderId="0" xfId="0" applyNumberFormat="1" applyFont="1"/>
    <xf numFmtId="14" fontId="0" fillId="0" borderId="0" xfId="0" applyNumberFormat="1"/>
    <xf numFmtId="1" fontId="0" fillId="0" borderId="0" xfId="0" applyNumberFormat="1"/>
    <xf numFmtId="2" fontId="0" fillId="0" borderId="0" xfId="0" applyNumberFormat="1" applyFill="1" applyBorder="1"/>
    <xf numFmtId="164" fontId="0" fillId="0" borderId="0" xfId="0" applyNumberForma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NumberFormat="1" applyFont="1"/>
    <xf numFmtId="2" fontId="0" fillId="0" borderId="0" xfId="0" applyNumberFormat="1" applyBorder="1"/>
    <xf numFmtId="0" fontId="0" fillId="0" borderId="0" xfId="0" applyNumberFormat="1"/>
    <xf numFmtId="14" fontId="5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/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wrapText="1"/>
    </xf>
    <xf numFmtId="164" fontId="0" fillId="0" borderId="0" xfId="0" applyNumberFormat="1" applyFont="1"/>
    <xf numFmtId="14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0" fillId="0" borderId="2" xfId="0" applyNumberFormat="1" applyBorder="1"/>
    <xf numFmtId="2" fontId="1" fillId="0" borderId="0" xfId="0" applyNumberFormat="1" applyFont="1"/>
    <xf numFmtId="17" fontId="0" fillId="0" borderId="0" xfId="0" applyNumberFormat="1"/>
    <xf numFmtId="14" fontId="1" fillId="0" borderId="0" xfId="0" applyNumberFormat="1" applyFont="1"/>
    <xf numFmtId="0" fontId="1" fillId="0" borderId="0" xfId="0" applyFont="1" applyFill="1"/>
    <xf numFmtId="164" fontId="1" fillId="0" borderId="0" xfId="0" applyNumberFormat="1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164" fontId="7" fillId="0" borderId="0" xfId="0" applyNumberFormat="1" applyFont="1"/>
    <xf numFmtId="0" fontId="11" fillId="0" borderId="0" xfId="0" applyFont="1"/>
    <xf numFmtId="164" fontId="9" fillId="0" borderId="0" xfId="0" applyNumberFormat="1" applyFont="1"/>
    <xf numFmtId="0" fontId="12" fillId="0" borderId="0" xfId="0" applyFont="1"/>
    <xf numFmtId="164" fontId="8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3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7" fillId="0" borderId="0" xfId="0" applyFont="1" applyFill="1"/>
    <xf numFmtId="164" fontId="7" fillId="0" borderId="0" xfId="0" applyNumberFormat="1" applyFont="1" applyFill="1"/>
    <xf numFmtId="164" fontId="17" fillId="0" borderId="0" xfId="0" applyNumberFormat="1" applyFont="1" applyFill="1"/>
    <xf numFmtId="0" fontId="8" fillId="0" borderId="0" xfId="0" applyFont="1" applyBorder="1"/>
    <xf numFmtId="164" fontId="8" fillId="0" borderId="0" xfId="0" applyNumberFormat="1" applyFont="1" applyBorder="1"/>
    <xf numFmtId="2" fontId="8" fillId="0" borderId="0" xfId="0" applyNumberFormat="1" applyFont="1"/>
    <xf numFmtId="164" fontId="8" fillId="0" borderId="0" xfId="0" applyNumberFormat="1" applyFont="1" applyFill="1" applyBorder="1"/>
    <xf numFmtId="0" fontId="8" fillId="0" borderId="0" xfId="0" applyFont="1" applyFill="1" applyBorder="1"/>
    <xf numFmtId="0" fontId="22" fillId="0" borderId="0" xfId="0" applyFont="1"/>
    <xf numFmtId="164" fontId="22" fillId="0" borderId="0" xfId="0" applyNumberFormat="1" applyFont="1"/>
    <xf numFmtId="0" fontId="1" fillId="0" borderId="0" xfId="0" applyFont="1" applyFill="1" applyBorder="1"/>
    <xf numFmtId="0" fontId="23" fillId="0" borderId="0" xfId="0" applyFont="1"/>
    <xf numFmtId="164" fontId="23" fillId="0" borderId="0" xfId="0" applyNumberFormat="1" applyFont="1"/>
    <xf numFmtId="164" fontId="24" fillId="0" borderId="0" xfId="0" applyNumberFormat="1" applyFont="1"/>
    <xf numFmtId="0" fontId="23" fillId="0" borderId="0" xfId="0" applyFont="1" applyFill="1"/>
    <xf numFmtId="0" fontId="25" fillId="0" borderId="0" xfId="0" applyFont="1"/>
    <xf numFmtId="0" fontId="16" fillId="0" borderId="0" xfId="0" applyFont="1" applyBorder="1"/>
    <xf numFmtId="14" fontId="16" fillId="0" borderId="0" xfId="0" applyNumberFormat="1" applyFont="1" applyBorder="1"/>
    <xf numFmtId="164" fontId="16" fillId="0" borderId="0" xfId="0" applyNumberFormat="1" applyFont="1" applyBorder="1"/>
    <xf numFmtId="164" fontId="17" fillId="0" borderId="0" xfId="0" applyNumberFormat="1" applyFont="1"/>
    <xf numFmtId="14" fontId="20" fillId="0" borderId="0" xfId="0" applyNumberFormat="1" applyFont="1" applyAlignment="1">
      <alignment wrapText="1"/>
    </xf>
    <xf numFmtId="164" fontId="20" fillId="0" borderId="0" xfId="0" applyNumberFormat="1" applyFont="1" applyAlignment="1">
      <alignment wrapText="1"/>
    </xf>
    <xf numFmtId="164" fontId="20" fillId="0" borderId="0" xfId="0" applyNumberFormat="1" applyFont="1" applyBorder="1" applyAlignment="1">
      <alignment wrapText="1"/>
    </xf>
    <xf numFmtId="0" fontId="20" fillId="0" borderId="0" xfId="0" applyNumberFormat="1" applyFont="1" applyAlignment="1">
      <alignment wrapText="1"/>
    </xf>
    <xf numFmtId="164" fontId="13" fillId="0" borderId="0" xfId="0" applyNumberFormat="1" applyFont="1"/>
    <xf numFmtId="14" fontId="19" fillId="0" borderId="0" xfId="0" applyNumberFormat="1" applyFont="1"/>
    <xf numFmtId="164" fontId="19" fillId="0" borderId="0" xfId="0" applyNumberFormat="1" applyFont="1"/>
    <xf numFmtId="164" fontId="19" fillId="0" borderId="0" xfId="0" applyNumberFormat="1" applyFont="1" applyBorder="1"/>
    <xf numFmtId="0" fontId="19" fillId="0" borderId="0" xfId="0" applyNumberFormat="1" applyFont="1"/>
    <xf numFmtId="164" fontId="14" fillId="0" borderId="0" xfId="0" applyNumberFormat="1" applyFont="1"/>
    <xf numFmtId="0" fontId="25" fillId="0" borderId="0" xfId="0" applyFont="1" applyAlignment="1">
      <alignment wrapText="1"/>
    </xf>
    <xf numFmtId="0" fontId="14" fillId="0" borderId="0" xfId="0" applyFont="1" applyFill="1"/>
    <xf numFmtId="14" fontId="21" fillId="0" borderId="0" xfId="0" applyNumberFormat="1" applyFont="1"/>
    <xf numFmtId="14" fontId="7" fillId="0" borderId="0" xfId="0" applyNumberFormat="1" applyFont="1"/>
    <xf numFmtId="14" fontId="8" fillId="0" borderId="0" xfId="0" applyNumberFormat="1" applyFont="1" applyBorder="1"/>
    <xf numFmtId="14" fontId="0" fillId="0" borderId="0" xfId="0" applyNumberFormat="1" applyFill="1" applyBorder="1"/>
    <xf numFmtId="14" fontId="23" fillId="0" borderId="0" xfId="0" applyNumberFormat="1" applyFont="1"/>
    <xf numFmtId="14" fontId="25" fillId="0" borderId="0" xfId="0" applyNumberFormat="1" applyFont="1"/>
    <xf numFmtId="14" fontId="14" fillId="0" borderId="0" xfId="0" applyNumberFormat="1" applyFont="1" applyFill="1"/>
    <xf numFmtId="14" fontId="0" fillId="0" borderId="0" xfId="0" applyNumberFormat="1" applyFill="1"/>
    <xf numFmtId="14" fontId="0" fillId="0" borderId="0" xfId="0" applyNumberFormat="1" applyFont="1"/>
    <xf numFmtId="0" fontId="0" fillId="0" borderId="0" xfId="0" applyFont="1" applyFill="1"/>
    <xf numFmtId="2" fontId="0" fillId="0" borderId="0" xfId="0" applyNumberFormat="1" applyFont="1"/>
    <xf numFmtId="164" fontId="25" fillId="0" borderId="0" xfId="0" applyNumberFormat="1" applyFont="1"/>
    <xf numFmtId="164" fontId="25" fillId="0" borderId="0" xfId="0" applyNumberFormat="1" applyFont="1" applyAlignment="1">
      <alignment wrapText="1"/>
    </xf>
    <xf numFmtId="0" fontId="26" fillId="0" borderId="0" xfId="0" applyFont="1"/>
    <xf numFmtId="164" fontId="26" fillId="0" borderId="0" xfId="0" applyNumberFormat="1" applyFont="1"/>
    <xf numFmtId="164" fontId="15" fillId="0" borderId="0" xfId="0" applyNumberFormat="1" applyFont="1" applyAlignment="1">
      <alignment horizontal="right"/>
    </xf>
    <xf numFmtId="164" fontId="15" fillId="0" borderId="0" xfId="0" applyNumberFormat="1" applyFont="1"/>
    <xf numFmtId="0" fontId="27" fillId="0" borderId="0" xfId="0" applyFont="1"/>
    <xf numFmtId="164" fontId="27" fillId="0" borderId="0" xfId="0" applyNumberFormat="1" applyFont="1"/>
    <xf numFmtId="164" fontId="0" fillId="0" borderId="0" xfId="0" applyNumberFormat="1" applyAlignment="1">
      <alignment horizontal="center"/>
    </xf>
    <xf numFmtId="164" fontId="16" fillId="0" borderId="0" xfId="0" applyNumberFormat="1" applyFont="1"/>
    <xf numFmtId="16" fontId="27" fillId="0" borderId="0" xfId="0" applyNumberFormat="1" applyFont="1"/>
    <xf numFmtId="8" fontId="0" fillId="0" borderId="0" xfId="0" applyNumberFormat="1"/>
    <xf numFmtId="0" fontId="14" fillId="0" borderId="0" xfId="0" applyFont="1" applyAlignment="1">
      <alignment horizontal="right"/>
    </xf>
    <xf numFmtId="164" fontId="14" fillId="0" borderId="0" xfId="0" applyNumberFormat="1" applyFont="1" applyAlignment="1">
      <alignment horizontal="right"/>
    </xf>
    <xf numFmtId="9" fontId="14" fillId="0" borderId="0" xfId="0" applyNumberFormat="1" applyFont="1" applyAlignment="1">
      <alignment horizontal="right"/>
    </xf>
    <xf numFmtId="14" fontId="9" fillId="0" borderId="0" xfId="0" applyNumberFormat="1" applyFont="1"/>
    <xf numFmtId="14" fontId="15" fillId="0" borderId="0" xfId="0" applyNumberFormat="1" applyFont="1"/>
    <xf numFmtId="14" fontId="26" fillId="0" borderId="0" xfId="0" applyNumberFormat="1" applyFont="1"/>
    <xf numFmtId="14" fontId="14" fillId="0" borderId="0" xfId="0" applyNumberFormat="1" applyFont="1" applyAlignment="1">
      <alignment horizontal="right"/>
    </xf>
    <xf numFmtId="164" fontId="0" fillId="0" borderId="0" xfId="0" applyNumberFormat="1" applyProtection="1">
      <protection locked="0"/>
    </xf>
    <xf numFmtId="164" fontId="18" fillId="0" borderId="0" xfId="0" applyNumberFormat="1" applyFont="1"/>
    <xf numFmtId="14" fontId="27" fillId="0" borderId="0" xfId="0" applyNumberFormat="1" applyFont="1"/>
    <xf numFmtId="0" fontId="0" fillId="0" borderId="0" xfId="0"/>
    <xf numFmtId="0" fontId="28" fillId="0" borderId="0" xfId="0" applyFont="1"/>
    <xf numFmtId="164" fontId="28" fillId="0" borderId="0" xfId="0" applyNumberFormat="1" applyFont="1"/>
    <xf numFmtId="0" fontId="29" fillId="0" borderId="0" xfId="0" applyFont="1"/>
    <xf numFmtId="0" fontId="0" fillId="0" borderId="0" xfId="0" applyFont="1" applyFill="1" applyBorder="1"/>
    <xf numFmtId="16" fontId="21" fillId="0" borderId="0" xfId="0" applyNumberFormat="1" applyFont="1"/>
    <xf numFmtId="164" fontId="0" fillId="0" borderId="0" xfId="0" applyNumberFormat="1" applyAlignment="1">
      <alignment horizontal="center"/>
    </xf>
    <xf numFmtId="164" fontId="0" fillId="2" borderId="0" xfId="0" applyNumberFormat="1" applyFill="1"/>
    <xf numFmtId="164" fontId="6" fillId="0" borderId="0" xfId="0" applyNumberFormat="1" applyFont="1"/>
    <xf numFmtId="16" fontId="3" fillId="0" borderId="0" xfId="0" applyNumberFormat="1" applyFont="1"/>
    <xf numFmtId="164" fontId="0" fillId="0" borderId="0" xfId="0" applyNumberFormat="1" applyAlignment="1">
      <alignment horizontal="right"/>
    </xf>
    <xf numFmtId="14" fontId="3" fillId="0" borderId="0" xfId="0" applyNumberFormat="1" applyFont="1" applyBorder="1"/>
    <xf numFmtId="0" fontId="3" fillId="0" borderId="0" xfId="0" applyFont="1" applyBorder="1"/>
    <xf numFmtId="164" fontId="0" fillId="0" borderId="0" xfId="0" applyNumberFormat="1" applyBorder="1" applyAlignment="1">
      <alignment wrapText="1"/>
    </xf>
    <xf numFmtId="0" fontId="3" fillId="0" borderId="0" xfId="0" applyNumberFormat="1" applyFont="1" applyBorder="1"/>
    <xf numFmtId="164" fontId="0" fillId="0" borderId="0" xfId="0" applyNumberFormat="1" applyFont="1" applyBorder="1"/>
    <xf numFmtId="0" fontId="9" fillId="0" borderId="0" xfId="0" applyFont="1" applyBorder="1"/>
    <xf numFmtId="164" fontId="0" fillId="0" borderId="0" xfId="0" applyNumberFormat="1" applyFill="1" applyAlignment="1">
      <alignment horizontal="center"/>
    </xf>
    <xf numFmtId="14" fontId="8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 applyFont="1" applyFill="1"/>
    <xf numFmtId="164" fontId="0" fillId="0" borderId="0" xfId="0" applyNumberFormat="1" applyFill="1" applyAlignment="1">
      <alignment wrapText="1"/>
    </xf>
    <xf numFmtId="164" fontId="0" fillId="0" borderId="0" xfId="0" applyNumberFormat="1" applyFill="1" applyBorder="1" applyAlignment="1">
      <alignment wrapText="1"/>
    </xf>
    <xf numFmtId="0" fontId="3" fillId="0" borderId="0" xfId="0" applyFont="1" applyFill="1"/>
    <xf numFmtId="14" fontId="0" fillId="0" borderId="0" xfId="0" applyNumberFormat="1" applyFont="1" applyFill="1"/>
    <xf numFmtId="14" fontId="3" fillId="0" borderId="0" xfId="0" applyNumberFormat="1" applyFont="1" applyFill="1" applyBorder="1"/>
    <xf numFmtId="0" fontId="0" fillId="0" borderId="0" xfId="0" applyNumberFormat="1" applyFill="1"/>
    <xf numFmtId="0" fontId="3" fillId="0" borderId="0" xfId="0" applyNumberFormat="1" applyFont="1" applyFill="1" applyBorder="1"/>
    <xf numFmtId="14" fontId="3" fillId="0" borderId="0" xfId="0" applyNumberFormat="1" applyFont="1" applyFill="1"/>
    <xf numFmtId="0" fontId="3" fillId="0" borderId="0" xfId="0" applyNumberFormat="1" applyFont="1" applyFill="1"/>
    <xf numFmtId="16" fontId="3" fillId="0" borderId="0" xfId="0" applyNumberFormat="1" applyFont="1" applyFill="1"/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Fill="1"/>
    <xf numFmtId="164" fontId="0" fillId="0" borderId="0" xfId="0" applyNumberFormat="1" applyFill="1"/>
    <xf numFmtId="14" fontId="0" fillId="0" borderId="0" xfId="0" applyNumberFormat="1"/>
    <xf numFmtId="164" fontId="0" fillId="0" borderId="0" xfId="0" applyNumberFormat="1" applyFont="1"/>
    <xf numFmtId="164" fontId="3" fillId="0" borderId="0" xfId="0" applyNumberFormat="1" applyFont="1"/>
    <xf numFmtId="164" fontId="1" fillId="0" borderId="0" xfId="0" applyNumberFormat="1" applyFont="1"/>
    <xf numFmtId="0" fontId="10" fillId="0" borderId="0" xfId="0" applyFont="1"/>
    <xf numFmtId="0" fontId="23" fillId="0" borderId="0" xfId="0" applyFont="1"/>
    <xf numFmtId="14" fontId="0" fillId="0" borderId="0" xfId="0" applyNumberFormat="1" applyFill="1"/>
    <xf numFmtId="16" fontId="21" fillId="0" borderId="0" xfId="0" applyNumberFormat="1" applyFont="1"/>
    <xf numFmtId="0" fontId="10" fillId="0" borderId="0" xfId="0" applyFont="1" applyFill="1"/>
    <xf numFmtId="2" fontId="15" fillId="0" borderId="0" xfId="0" applyNumberFormat="1" applyFont="1"/>
    <xf numFmtId="8" fontId="1" fillId="0" borderId="0" xfId="0" applyNumberFormat="1" applyFont="1"/>
    <xf numFmtId="0" fontId="1" fillId="0" borderId="0" xfId="0" applyFont="1" applyAlignment="1">
      <alignment horizontal="center"/>
    </xf>
    <xf numFmtId="164" fontId="12" fillId="0" borderId="0" xfId="0" applyNumberFormat="1" applyFont="1"/>
    <xf numFmtId="0" fontId="25" fillId="0" borderId="1" xfId="0" applyFont="1" applyBorder="1"/>
    <xf numFmtId="164" fontId="0" fillId="3" borderId="0" xfId="0" applyNumberFormat="1" applyFill="1" applyAlignment="1">
      <alignment wrapText="1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%20June%202021%20Ful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diture Profile"/>
      <sheetName val="Expenditure Other"/>
      <sheetName val="Expenditure"/>
      <sheetName val="Bank Reconciliation"/>
      <sheetName val="Receipts"/>
      <sheetName val="Payments"/>
      <sheetName val="VAT return"/>
    </sheetNames>
    <sheetDataSet>
      <sheetData sheetId="0"/>
      <sheetData sheetId="1"/>
      <sheetData sheetId="2"/>
      <sheetData sheetId="3"/>
      <sheetData sheetId="4"/>
      <sheetData sheetId="5">
        <row r="30">
          <cell r="E30">
            <v>1279.9399999999998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519CA-727E-47E4-B691-EB30B5B25CBA}">
  <dimension ref="A3:U55"/>
  <sheetViews>
    <sheetView zoomScale="98" zoomScaleNormal="98" workbookViewId="0">
      <selection sqref="A1:XFD1048576"/>
    </sheetView>
  </sheetViews>
  <sheetFormatPr defaultRowHeight="15" x14ac:dyDescent="0.25"/>
  <cols>
    <col min="1" max="1" width="34.140625" bestFit="1" customWidth="1"/>
    <col min="2" max="2" width="31" customWidth="1"/>
    <col min="3" max="3" width="10.5703125" customWidth="1"/>
    <col min="4" max="7" width="9.140625" style="6"/>
    <col min="8" max="8" width="10.28515625" style="6" customWidth="1"/>
    <col min="9" max="9" width="9" style="6" customWidth="1"/>
    <col min="10" max="10" width="9.28515625" style="6" bestFit="1" customWidth="1"/>
    <col min="11" max="11" width="9.85546875" style="6" customWidth="1"/>
    <col min="12" max="12" width="9.42578125" style="6" customWidth="1"/>
    <col min="13" max="13" width="9.140625" style="6"/>
    <col min="14" max="14" width="10" style="6" bestFit="1" customWidth="1"/>
    <col min="15" max="15" width="9.140625" style="6"/>
    <col min="16" max="17" width="10.140625" bestFit="1" customWidth="1"/>
    <col min="21" max="21" width="10.28515625" bestFit="1" customWidth="1"/>
  </cols>
  <sheetData>
    <row r="3" spans="1:18" x14ac:dyDescent="0.25">
      <c r="B3" s="163" t="s">
        <v>0</v>
      </c>
    </row>
    <row r="5" spans="1:18" x14ac:dyDescent="0.25">
      <c r="B5" s="155" t="s">
        <v>150</v>
      </c>
    </row>
    <row r="7" spans="1:18" x14ac:dyDescent="0.25">
      <c r="C7" t="s">
        <v>1</v>
      </c>
      <c r="D7" s="6" t="s">
        <v>93</v>
      </c>
      <c r="E7" s="6" t="s">
        <v>2</v>
      </c>
      <c r="F7" s="6" t="s">
        <v>94</v>
      </c>
      <c r="G7" s="6" t="s">
        <v>95</v>
      </c>
      <c r="H7" s="6" t="s">
        <v>96</v>
      </c>
      <c r="I7" s="6" t="s">
        <v>97</v>
      </c>
      <c r="J7" s="6" t="s">
        <v>98</v>
      </c>
      <c r="K7" s="6" t="s">
        <v>99</v>
      </c>
      <c r="L7" s="6" t="s">
        <v>100</v>
      </c>
      <c r="M7" s="6" t="s">
        <v>101</v>
      </c>
      <c r="N7" s="6" t="s">
        <v>102</v>
      </c>
      <c r="O7" s="6" t="s">
        <v>103</v>
      </c>
      <c r="P7" t="s">
        <v>3</v>
      </c>
      <c r="Q7" t="s">
        <v>4</v>
      </c>
      <c r="R7" t="s">
        <v>5</v>
      </c>
    </row>
    <row r="8" spans="1:18" x14ac:dyDescent="0.25">
      <c r="C8" t="s">
        <v>218</v>
      </c>
    </row>
    <row r="9" spans="1:18" x14ac:dyDescent="0.25">
      <c r="C9" t="s">
        <v>6</v>
      </c>
      <c r="P9" t="s">
        <v>6</v>
      </c>
      <c r="Q9" t="s">
        <v>6</v>
      </c>
    </row>
    <row r="10" spans="1:18" x14ac:dyDescent="0.25">
      <c r="A10" t="s">
        <v>7</v>
      </c>
      <c r="B10" s="40" t="s">
        <v>8</v>
      </c>
      <c r="C10" s="6">
        <v>2000</v>
      </c>
      <c r="G10" s="6">
        <v>200</v>
      </c>
      <c r="J10" s="6">
        <v>100</v>
      </c>
      <c r="K10" s="6">
        <v>200</v>
      </c>
      <c r="P10" s="157">
        <f t="shared" ref="P10:P33" si="0">SUM(D10:O10)</f>
        <v>500</v>
      </c>
      <c r="Q10" s="6">
        <f t="shared" ref="Q10:Q35" si="1">SUM(C10-P10)</f>
        <v>1500</v>
      </c>
      <c r="R10" s="6"/>
    </row>
    <row r="11" spans="1:18" x14ac:dyDescent="0.25">
      <c r="A11" t="s">
        <v>9</v>
      </c>
      <c r="B11" s="40" t="s">
        <v>10</v>
      </c>
      <c r="C11" s="6">
        <v>1500</v>
      </c>
      <c r="K11" s="6">
        <v>1500</v>
      </c>
      <c r="P11" s="157">
        <f t="shared" si="0"/>
        <v>1500</v>
      </c>
      <c r="Q11" s="6">
        <f t="shared" si="1"/>
        <v>0</v>
      </c>
      <c r="R11" s="6"/>
    </row>
    <row r="12" spans="1:18" x14ac:dyDescent="0.25">
      <c r="B12" s="40" t="s">
        <v>11</v>
      </c>
      <c r="C12" s="6">
        <v>1300</v>
      </c>
      <c r="D12" s="11">
        <v>780</v>
      </c>
      <c r="G12" s="6">
        <v>240</v>
      </c>
      <c r="I12" s="154">
        <v>240</v>
      </c>
      <c r="J12" s="26"/>
      <c r="K12" s="26"/>
      <c r="L12" s="8"/>
      <c r="M12" s="26"/>
      <c r="N12" s="26"/>
      <c r="P12" s="157">
        <f t="shared" si="0"/>
        <v>1260</v>
      </c>
      <c r="Q12" s="6">
        <f t="shared" si="1"/>
        <v>40</v>
      </c>
      <c r="R12" s="6"/>
    </row>
    <row r="13" spans="1:18" x14ac:dyDescent="0.25">
      <c r="B13" s="40" t="s">
        <v>12</v>
      </c>
      <c r="C13" s="6">
        <v>150</v>
      </c>
      <c r="D13" s="11"/>
      <c r="K13" s="6">
        <v>26.46</v>
      </c>
      <c r="L13" s="8"/>
      <c r="N13" s="26"/>
      <c r="P13" s="6">
        <f t="shared" si="0"/>
        <v>26.46</v>
      </c>
      <c r="Q13" s="6">
        <f t="shared" si="1"/>
        <v>123.53999999999999</v>
      </c>
      <c r="R13" s="6"/>
    </row>
    <row r="14" spans="1:18" x14ac:dyDescent="0.25">
      <c r="B14" s="40" t="s">
        <v>13</v>
      </c>
      <c r="C14" s="6">
        <v>319</v>
      </c>
      <c r="D14" s="11"/>
      <c r="E14" s="6">
        <v>100</v>
      </c>
      <c r="J14" s="6">
        <v>250</v>
      </c>
      <c r="L14" s="8"/>
      <c r="N14" s="26"/>
      <c r="P14" s="6">
        <f t="shared" si="0"/>
        <v>350</v>
      </c>
      <c r="Q14" s="6">
        <f t="shared" si="1"/>
        <v>-31</v>
      </c>
      <c r="R14" s="6"/>
    </row>
    <row r="15" spans="1:18" x14ac:dyDescent="0.25">
      <c r="B15" s="40" t="s">
        <v>38</v>
      </c>
      <c r="C15" s="6">
        <v>1400</v>
      </c>
      <c r="D15" s="11">
        <f>Payments!E11+Payments!E14+Payments!E15</f>
        <v>1072.3</v>
      </c>
      <c r="J15" s="6">
        <v>41.4</v>
      </c>
      <c r="K15" s="6">
        <v>990</v>
      </c>
      <c r="L15" s="8"/>
      <c r="M15" s="119"/>
      <c r="N15" s="26"/>
      <c r="P15" s="6">
        <f t="shared" si="0"/>
        <v>2103.6999999999998</v>
      </c>
      <c r="Q15" s="6">
        <f t="shared" si="1"/>
        <v>-703.69999999999982</v>
      </c>
      <c r="R15" s="6"/>
    </row>
    <row r="16" spans="1:18" x14ac:dyDescent="0.25">
      <c r="B16" s="40" t="s">
        <v>44</v>
      </c>
      <c r="C16" s="6">
        <v>100</v>
      </c>
      <c r="D16" s="11"/>
      <c r="L16" s="8"/>
      <c r="M16" s="119"/>
      <c r="N16" s="26"/>
      <c r="P16" s="6">
        <f t="shared" si="0"/>
        <v>0</v>
      </c>
      <c r="Q16" s="6">
        <f t="shared" si="1"/>
        <v>100</v>
      </c>
      <c r="R16" s="6"/>
    </row>
    <row r="17" spans="1:18" x14ac:dyDescent="0.25">
      <c r="B17" s="40" t="s">
        <v>86</v>
      </c>
      <c r="C17" s="6">
        <v>400</v>
      </c>
      <c r="D17" s="11"/>
      <c r="L17" s="8"/>
      <c r="N17" s="26"/>
      <c r="P17" s="6">
        <f t="shared" si="0"/>
        <v>0</v>
      </c>
      <c r="Q17" s="6">
        <f t="shared" si="1"/>
        <v>400</v>
      </c>
      <c r="R17" s="6"/>
    </row>
    <row r="18" spans="1:18" x14ac:dyDescent="0.25">
      <c r="B18" s="40" t="s">
        <v>14</v>
      </c>
      <c r="C18" s="6">
        <v>2500</v>
      </c>
      <c r="D18" s="11">
        <v>282</v>
      </c>
      <c r="E18" s="11">
        <v>156</v>
      </c>
      <c r="G18" s="6">
        <v>906</v>
      </c>
      <c r="I18" s="6">
        <v>780</v>
      </c>
      <c r="J18" s="6">
        <v>312</v>
      </c>
      <c r="K18" s="6">
        <v>438</v>
      </c>
      <c r="L18" s="8"/>
      <c r="N18" s="26"/>
      <c r="P18" s="6">
        <f t="shared" si="0"/>
        <v>2874</v>
      </c>
      <c r="Q18" s="6">
        <f t="shared" si="1"/>
        <v>-374</v>
      </c>
      <c r="R18" s="6"/>
    </row>
    <row r="19" spans="1:18" x14ac:dyDescent="0.25">
      <c r="B19" s="40" t="s">
        <v>15</v>
      </c>
      <c r="C19" s="6">
        <v>300</v>
      </c>
      <c r="D19" s="11">
        <f>20.1+20.1</f>
        <v>40.200000000000003</v>
      </c>
      <c r="F19" s="6">
        <f>Payments!E36</f>
        <v>21.6</v>
      </c>
      <c r="J19" s="6">
        <v>64.8</v>
      </c>
      <c r="K19" s="6">
        <v>43.2</v>
      </c>
      <c r="P19" s="6">
        <f t="shared" si="0"/>
        <v>169.8</v>
      </c>
      <c r="Q19" s="6">
        <f t="shared" si="1"/>
        <v>130.19999999999999</v>
      </c>
      <c r="R19" s="6"/>
    </row>
    <row r="20" spans="1:18" x14ac:dyDescent="0.25">
      <c r="B20" s="41" t="s">
        <v>90</v>
      </c>
      <c r="C20" s="43">
        <f t="shared" ref="C20:P20" si="2">SUM(C10:C19)</f>
        <v>9969</v>
      </c>
      <c r="D20" s="58">
        <f t="shared" si="2"/>
        <v>2174.5</v>
      </c>
      <c r="E20" s="58">
        <f t="shared" si="2"/>
        <v>256</v>
      </c>
      <c r="F20" s="58">
        <f t="shared" si="2"/>
        <v>21.6</v>
      </c>
      <c r="G20" s="58">
        <f t="shared" si="2"/>
        <v>1346</v>
      </c>
      <c r="H20" s="58">
        <f t="shared" si="2"/>
        <v>0</v>
      </c>
      <c r="I20" s="58">
        <f t="shared" si="2"/>
        <v>1020</v>
      </c>
      <c r="J20" s="58">
        <f t="shared" si="2"/>
        <v>768.19999999999993</v>
      </c>
      <c r="K20" s="58">
        <f t="shared" si="2"/>
        <v>3197.66</v>
      </c>
      <c r="L20" s="58">
        <f t="shared" si="2"/>
        <v>0</v>
      </c>
      <c r="M20" s="58">
        <f t="shared" si="2"/>
        <v>0</v>
      </c>
      <c r="N20" s="58">
        <f t="shared" si="2"/>
        <v>0</v>
      </c>
      <c r="O20" s="58">
        <f t="shared" si="2"/>
        <v>0</v>
      </c>
      <c r="P20" s="58">
        <f t="shared" si="2"/>
        <v>8783.9599999999991</v>
      </c>
      <c r="Q20" s="6">
        <f t="shared" si="1"/>
        <v>1185.0400000000009</v>
      </c>
    </row>
    <row r="21" spans="1:18" x14ac:dyDescent="0.25">
      <c r="B21" s="40" t="s">
        <v>18</v>
      </c>
      <c r="C21" s="6">
        <v>400</v>
      </c>
      <c r="D21" s="11"/>
      <c r="F21" s="6">
        <f>Payments!E34</f>
        <v>188</v>
      </c>
      <c r="I21" s="6">
        <v>360</v>
      </c>
      <c r="P21" s="6">
        <f t="shared" si="0"/>
        <v>548</v>
      </c>
      <c r="Q21" s="6">
        <f t="shared" si="1"/>
        <v>-148</v>
      </c>
      <c r="R21" s="29"/>
    </row>
    <row r="22" spans="1:18" x14ac:dyDescent="0.25">
      <c r="A22" t="s">
        <v>17</v>
      </c>
      <c r="B22" s="40" t="s">
        <v>19</v>
      </c>
      <c r="C22" s="6">
        <v>9200</v>
      </c>
      <c r="D22" s="11">
        <f>537.6+134.4</f>
        <v>672</v>
      </c>
      <c r="E22" s="6">
        <f>537.6+134.4+537.6+134.4</f>
        <v>1344</v>
      </c>
      <c r="P22" s="6">
        <f t="shared" si="0"/>
        <v>2016</v>
      </c>
      <c r="Q22" s="6">
        <f t="shared" si="1"/>
        <v>7184</v>
      </c>
      <c r="R22" s="6"/>
    </row>
    <row r="23" spans="1:18" x14ac:dyDescent="0.25">
      <c r="B23" s="40" t="s">
        <v>20</v>
      </c>
      <c r="C23" s="6">
        <v>1100</v>
      </c>
      <c r="D23" s="11"/>
      <c r="E23" s="6">
        <f>Payments!E29</f>
        <v>1096.3900000000001</v>
      </c>
      <c r="P23" s="6">
        <f t="shared" si="0"/>
        <v>1096.3900000000001</v>
      </c>
      <c r="Q23" s="6">
        <f t="shared" si="1"/>
        <v>3.6099999999999</v>
      </c>
      <c r="R23" s="6"/>
    </row>
    <row r="24" spans="1:18" x14ac:dyDescent="0.25">
      <c r="B24" s="40" t="s">
        <v>21</v>
      </c>
      <c r="C24" s="6">
        <v>100</v>
      </c>
      <c r="D24" s="11"/>
      <c r="E24" s="6">
        <f>Payments!E26</f>
        <v>151.19999999999999</v>
      </c>
      <c r="H24" s="6">
        <v>45</v>
      </c>
      <c r="P24" s="6">
        <f t="shared" si="0"/>
        <v>196.2</v>
      </c>
      <c r="Q24" s="6">
        <f t="shared" si="1"/>
        <v>-96.199999999999989</v>
      </c>
      <c r="R24" s="6"/>
    </row>
    <row r="25" spans="1:18" ht="17.25" customHeight="1" x14ac:dyDescent="0.25">
      <c r="B25" s="40" t="s">
        <v>22</v>
      </c>
      <c r="C25" s="6">
        <v>450</v>
      </c>
      <c r="D25" s="11"/>
      <c r="G25" s="6">
        <v>120</v>
      </c>
      <c r="P25" s="6">
        <f t="shared" si="0"/>
        <v>120</v>
      </c>
      <c r="Q25" s="6">
        <f t="shared" si="1"/>
        <v>330</v>
      </c>
      <c r="R25" s="6"/>
    </row>
    <row r="26" spans="1:18" x14ac:dyDescent="0.25">
      <c r="B26" s="40" t="s">
        <v>23</v>
      </c>
      <c r="C26" s="6">
        <v>150</v>
      </c>
      <c r="D26" s="11">
        <f>Payments!W13</f>
        <v>10.98</v>
      </c>
      <c r="E26" s="6">
        <f>24.66+10.98</f>
        <v>35.64</v>
      </c>
      <c r="P26" s="6">
        <f t="shared" si="0"/>
        <v>46.620000000000005</v>
      </c>
      <c r="Q26" s="6">
        <f t="shared" si="1"/>
        <v>103.38</v>
      </c>
      <c r="R26" s="6"/>
    </row>
    <row r="27" spans="1:18" x14ac:dyDescent="0.25">
      <c r="B27" s="40" t="s">
        <v>24</v>
      </c>
      <c r="C27" s="6">
        <v>500</v>
      </c>
      <c r="D27" s="11">
        <f>Payments!E19+Payments!X13+Payments!AF13</f>
        <v>51.88</v>
      </c>
      <c r="E27" s="6">
        <f>Payments!X21+Payments!X24+Payments!AF21+Payments!AF24</f>
        <v>78.06</v>
      </c>
      <c r="F27" s="107"/>
      <c r="H27" s="6">
        <v>545</v>
      </c>
      <c r="I27" s="6">
        <f>19.2+35</f>
        <v>54.2</v>
      </c>
      <c r="J27" s="6">
        <f>19.2+51.99</f>
        <v>71.19</v>
      </c>
      <c r="K27" s="6">
        <f>19.2</f>
        <v>19.2</v>
      </c>
      <c r="N27" s="45"/>
      <c r="P27" s="6">
        <f t="shared" si="0"/>
        <v>819.5300000000002</v>
      </c>
      <c r="Q27" s="6">
        <f t="shared" si="1"/>
        <v>-319.5300000000002</v>
      </c>
      <c r="R27" s="42"/>
    </row>
    <row r="28" spans="1:18" x14ac:dyDescent="0.25">
      <c r="B28" s="40" t="s">
        <v>25</v>
      </c>
      <c r="C28" s="6">
        <v>400</v>
      </c>
      <c r="D28" s="11"/>
      <c r="F28" s="107"/>
      <c r="P28" s="6">
        <f t="shared" si="0"/>
        <v>0</v>
      </c>
      <c r="Q28" s="6">
        <f t="shared" si="1"/>
        <v>400</v>
      </c>
      <c r="R28" s="6"/>
    </row>
    <row r="29" spans="1:18" x14ac:dyDescent="0.25">
      <c r="B29" s="40" t="s">
        <v>26</v>
      </c>
      <c r="C29" s="6">
        <v>500</v>
      </c>
      <c r="D29" s="11">
        <f>Payments!E10+Payments!E16</f>
        <v>38.4</v>
      </c>
      <c r="E29" s="6">
        <v>4.8</v>
      </c>
      <c r="F29" s="107">
        <f>Payments!E33</f>
        <v>4.8</v>
      </c>
      <c r="G29" s="6">
        <v>4.8</v>
      </c>
      <c r="H29" s="6">
        <v>4.8</v>
      </c>
      <c r="I29" s="6">
        <f>4.8+89.99+2112</f>
        <v>2206.79</v>
      </c>
      <c r="J29" s="6">
        <v>4.8</v>
      </c>
      <c r="K29" s="6">
        <v>4.8</v>
      </c>
      <c r="P29" s="6">
        <f t="shared" si="0"/>
        <v>2273.9900000000002</v>
      </c>
      <c r="Q29" s="6">
        <f t="shared" si="1"/>
        <v>-1773.9900000000002</v>
      </c>
      <c r="R29" s="107"/>
    </row>
    <row r="30" spans="1:18" x14ac:dyDescent="0.25">
      <c r="B30" s="166" t="s">
        <v>27</v>
      </c>
      <c r="C30" s="6">
        <v>500</v>
      </c>
      <c r="P30" s="6">
        <f t="shared" si="0"/>
        <v>0</v>
      </c>
      <c r="Q30" s="6">
        <f t="shared" si="1"/>
        <v>500</v>
      </c>
      <c r="R30" s="6"/>
    </row>
    <row r="31" spans="1:18" x14ac:dyDescent="0.25">
      <c r="B31" s="166" t="s">
        <v>28</v>
      </c>
      <c r="C31" s="6">
        <v>100</v>
      </c>
      <c r="P31" s="6">
        <f t="shared" si="0"/>
        <v>0</v>
      </c>
      <c r="Q31" s="6">
        <f t="shared" si="1"/>
        <v>100</v>
      </c>
      <c r="R31" s="6"/>
    </row>
    <row r="32" spans="1:18" s="122" customFormat="1" x14ac:dyDescent="0.25">
      <c r="B32" s="166" t="s">
        <v>202</v>
      </c>
      <c r="C32" s="6"/>
      <c r="D32" s="6"/>
      <c r="E32" s="6"/>
      <c r="F32" s="6">
        <f>Payments!E35</f>
        <v>25</v>
      </c>
      <c r="G32" s="6"/>
      <c r="H32" s="6"/>
      <c r="I32" s="6"/>
      <c r="J32" s="6"/>
      <c r="K32" s="6"/>
      <c r="L32" s="6"/>
      <c r="M32" s="6"/>
      <c r="N32" s="6"/>
      <c r="O32" s="6"/>
      <c r="P32" s="6">
        <f t="shared" ref="P32" si="3">SUM(D32:O32)</f>
        <v>25</v>
      </c>
      <c r="Q32" s="6">
        <f t="shared" ref="Q32" si="4">SUM(C32-P32)</f>
        <v>-25</v>
      </c>
      <c r="R32" s="6"/>
    </row>
    <row r="33" spans="1:21" x14ac:dyDescent="0.25">
      <c r="B33" s="166" t="s">
        <v>29</v>
      </c>
      <c r="C33" s="6">
        <v>2631</v>
      </c>
      <c r="F33" s="6">
        <f>Payments!E32</f>
        <v>1315.22</v>
      </c>
      <c r="K33" s="6">
        <v>1315.22</v>
      </c>
      <c r="P33" s="6">
        <f t="shared" si="0"/>
        <v>2630.44</v>
      </c>
      <c r="Q33" s="6">
        <f t="shared" si="1"/>
        <v>0.55999999999994543</v>
      </c>
      <c r="R33" s="6"/>
    </row>
    <row r="34" spans="1:21" s="122" customFormat="1" x14ac:dyDescent="0.25">
      <c r="B34" s="166" t="s">
        <v>91</v>
      </c>
      <c r="C34" s="6">
        <v>1000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>
        <f t="shared" ref="P34" si="5">SUM(D34:O34)</f>
        <v>0</v>
      </c>
      <c r="Q34" s="6">
        <f t="shared" ref="Q34" si="6">SUM(C34-P34)</f>
        <v>1000</v>
      </c>
      <c r="R34" s="6"/>
    </row>
    <row r="35" spans="1:21" s="42" customFormat="1" x14ac:dyDescent="0.25">
      <c r="B35" s="41" t="s">
        <v>90</v>
      </c>
      <c r="C35" s="43">
        <f>SUM(C21:C34)</f>
        <v>17031</v>
      </c>
      <c r="D35" s="43">
        <f t="shared" ref="D35:P35" si="7">SUM(D21:D34)</f>
        <v>773.26</v>
      </c>
      <c r="E35" s="43">
        <f t="shared" si="7"/>
        <v>2710.09</v>
      </c>
      <c r="F35" s="43">
        <f t="shared" si="7"/>
        <v>1533.02</v>
      </c>
      <c r="G35" s="43">
        <f t="shared" si="7"/>
        <v>124.8</v>
      </c>
      <c r="H35" s="43">
        <f t="shared" si="7"/>
        <v>594.79999999999995</v>
      </c>
      <c r="I35" s="43">
        <f t="shared" si="7"/>
        <v>2620.9899999999998</v>
      </c>
      <c r="J35" s="43">
        <f t="shared" si="7"/>
        <v>75.989999999999995</v>
      </c>
      <c r="K35" s="43">
        <f t="shared" si="7"/>
        <v>1339.22</v>
      </c>
      <c r="L35" s="43">
        <f t="shared" si="7"/>
        <v>0</v>
      </c>
      <c r="M35" s="43">
        <f t="shared" si="7"/>
        <v>0</v>
      </c>
      <c r="N35" s="43">
        <f t="shared" si="7"/>
        <v>0</v>
      </c>
      <c r="O35" s="43">
        <f t="shared" si="7"/>
        <v>0</v>
      </c>
      <c r="P35" s="43">
        <f t="shared" si="7"/>
        <v>9772.17</v>
      </c>
      <c r="Q35" s="43">
        <f t="shared" si="1"/>
        <v>7258.83</v>
      </c>
    </row>
    <row r="36" spans="1:21" x14ac:dyDescent="0.25">
      <c r="B36" s="40"/>
      <c r="C36" s="6"/>
      <c r="P36" s="36"/>
      <c r="Q36" s="36"/>
    </row>
    <row r="37" spans="1:21" s="46" customFormat="1" x14ac:dyDescent="0.25">
      <c r="B37" s="169" t="s">
        <v>104</v>
      </c>
      <c r="C37" s="161">
        <f>SUM(C35+C20)</f>
        <v>27000</v>
      </c>
      <c r="D37" s="161">
        <f t="shared" ref="D37:O37" si="8">SUM(D35+D20)</f>
        <v>2947.76</v>
      </c>
      <c r="E37" s="161">
        <f t="shared" si="8"/>
        <v>2966.09</v>
      </c>
      <c r="F37" s="161">
        <f t="shared" si="8"/>
        <v>1554.62</v>
      </c>
      <c r="G37" s="161">
        <f t="shared" si="8"/>
        <v>1470.8</v>
      </c>
      <c r="H37" s="161">
        <f t="shared" si="8"/>
        <v>594.79999999999995</v>
      </c>
      <c r="I37" s="161">
        <f t="shared" si="8"/>
        <v>3640.99</v>
      </c>
      <c r="J37" s="161">
        <f t="shared" si="8"/>
        <v>844.18999999999994</v>
      </c>
      <c r="K37" s="161">
        <f t="shared" si="8"/>
        <v>4536.88</v>
      </c>
      <c r="L37" s="161">
        <f t="shared" si="8"/>
        <v>0</v>
      </c>
      <c r="M37" s="161">
        <f t="shared" si="8"/>
        <v>0</v>
      </c>
      <c r="N37" s="161">
        <f t="shared" si="8"/>
        <v>0</v>
      </c>
      <c r="O37" s="161">
        <f t="shared" si="8"/>
        <v>0</v>
      </c>
      <c r="P37" s="161">
        <f>SUM(D37:O37)</f>
        <v>18556.13</v>
      </c>
      <c r="Q37" s="161">
        <f>SUM(C37-P37)</f>
        <v>8443.869999999999</v>
      </c>
      <c r="S37" s="46">
        <f>'Expenditure Other'!E12+'Expenditure Other'!E15+'Expenditure Other'!E23</f>
        <v>4807.6499999999996</v>
      </c>
      <c r="U37" s="170">
        <f>P37+S37</f>
        <v>23363.78</v>
      </c>
    </row>
    <row r="39" spans="1:21" x14ac:dyDescent="0.25">
      <c r="C39" s="7"/>
    </row>
    <row r="40" spans="1:21" x14ac:dyDescent="0.25">
      <c r="C40" s="7"/>
      <c r="H40" s="40"/>
      <c r="K40" s="40"/>
      <c r="L40" s="122"/>
    </row>
    <row r="41" spans="1:21" x14ac:dyDescent="0.25">
      <c r="H41" s="40"/>
      <c r="K41" s="40"/>
      <c r="L41" s="122"/>
    </row>
    <row r="42" spans="1:21" x14ac:dyDescent="0.25">
      <c r="A42" s="163" t="s">
        <v>219</v>
      </c>
      <c r="B42" s="6"/>
      <c r="H42" s="40"/>
      <c r="K42" s="40"/>
      <c r="L42" s="122"/>
    </row>
    <row r="43" spans="1:21" x14ac:dyDescent="0.25">
      <c r="B43" s="6"/>
      <c r="H43" s="40"/>
      <c r="K43" s="40"/>
      <c r="L43" s="122"/>
    </row>
    <row r="44" spans="1:21" s="153" customFormat="1" x14ac:dyDescent="0.25">
      <c r="A44" s="153" t="s">
        <v>213</v>
      </c>
      <c r="B44" s="154">
        <f>'Bank Reconciliation'!F113</f>
        <v>65445.53</v>
      </c>
      <c r="C44" s="153" t="s">
        <v>216</v>
      </c>
      <c r="D44" s="154"/>
      <c r="E44" s="154"/>
      <c r="F44" s="154"/>
      <c r="G44" s="154"/>
      <c r="H44" s="162"/>
      <c r="I44" s="154"/>
      <c r="J44" s="154"/>
      <c r="K44" s="162"/>
      <c r="M44" s="154"/>
      <c r="N44" s="154"/>
      <c r="O44" s="154"/>
    </row>
    <row r="45" spans="1:21" x14ac:dyDescent="0.25">
      <c r="A45" s="13" t="s">
        <v>118</v>
      </c>
      <c r="B45" s="111">
        <f>'Expenditure Other'!I5+(906.62/3)</f>
        <v>5503.6866666666665</v>
      </c>
      <c r="C45" s="122" t="s">
        <v>210</v>
      </c>
      <c r="D45" s="37"/>
      <c r="H45" s="40"/>
      <c r="K45" s="40"/>
      <c r="L45" s="122"/>
    </row>
    <row r="46" spans="1:21" x14ac:dyDescent="0.25">
      <c r="A46" s="13" t="s">
        <v>31</v>
      </c>
      <c r="B46" s="6">
        <f>906.62*1/3</f>
        <v>302.20666666666665</v>
      </c>
      <c r="C46" s="122" t="s">
        <v>209</v>
      </c>
      <c r="D46" s="122"/>
      <c r="G46" s="13"/>
      <c r="H46" s="40"/>
      <c r="K46" s="40"/>
      <c r="L46" s="122"/>
    </row>
    <row r="47" spans="1:21" x14ac:dyDescent="0.25">
      <c r="A47" s="13" t="s">
        <v>92</v>
      </c>
      <c r="B47" s="6">
        <f>'Expenditure Other'!I12</f>
        <v>38103.019999999997</v>
      </c>
      <c r="C47" s="122" t="s">
        <v>220</v>
      </c>
      <c r="D47" s="122"/>
      <c r="G47" s="13"/>
      <c r="H47" s="40"/>
      <c r="K47" s="40"/>
      <c r="L47" s="122"/>
    </row>
    <row r="48" spans="1:21" s="156" customFormat="1" x14ac:dyDescent="0.25">
      <c r="A48" s="164" t="s">
        <v>117</v>
      </c>
      <c r="B48" s="157">
        <f>'Expenditure Other'!I14</f>
        <v>2000</v>
      </c>
      <c r="C48" s="156" t="s">
        <v>215</v>
      </c>
      <c r="E48" s="157"/>
      <c r="F48" s="157"/>
      <c r="G48" s="164"/>
      <c r="H48" s="166"/>
      <c r="I48" s="157"/>
      <c r="J48" s="157"/>
      <c r="K48" s="166"/>
      <c r="M48" s="157"/>
      <c r="N48" s="157"/>
      <c r="O48" s="157"/>
    </row>
    <row r="49" spans="1:12" x14ac:dyDescent="0.25">
      <c r="A49" s="164" t="s">
        <v>91</v>
      </c>
      <c r="B49" s="6">
        <f>'Expenditure Other'!I16</f>
        <v>1500</v>
      </c>
      <c r="C49" s="122" t="s">
        <v>211</v>
      </c>
      <c r="D49" s="122"/>
      <c r="G49" s="13"/>
      <c r="H49" s="40"/>
      <c r="K49" s="40"/>
      <c r="L49" s="122"/>
    </row>
    <row r="50" spans="1:12" x14ac:dyDescent="0.25">
      <c r="A50" s="152" t="s">
        <v>154</v>
      </c>
      <c r="B50" s="6">
        <f>'Expenditure Other'!I58+(906.62/3)</f>
        <v>802.20666666666671</v>
      </c>
      <c r="C50" s="122" t="s">
        <v>212</v>
      </c>
      <c r="D50" s="122"/>
      <c r="G50" s="13"/>
      <c r="H50" s="40"/>
      <c r="K50" s="40"/>
      <c r="L50" s="122"/>
    </row>
    <row r="51" spans="1:12" x14ac:dyDescent="0.25">
      <c r="A51" s="164" t="s">
        <v>153</v>
      </c>
      <c r="B51" s="6">
        <f>'Expenditure Other'!I60</f>
        <v>100</v>
      </c>
      <c r="C51" s="122" t="s">
        <v>211</v>
      </c>
      <c r="D51" s="122"/>
      <c r="H51" s="40"/>
      <c r="K51" s="40"/>
      <c r="L51" s="122"/>
    </row>
    <row r="53" spans="1:12" x14ac:dyDescent="0.25">
      <c r="A53" s="155" t="s">
        <v>214</v>
      </c>
      <c r="B53" s="168">
        <f>B44-SUM(B45:B52)</f>
        <v>17134.410000000003</v>
      </c>
    </row>
    <row r="55" spans="1:12" x14ac:dyDescent="0.25">
      <c r="H55" s="3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7974F-B2EF-478A-A8A3-6B835F4D645E}">
  <dimension ref="A1:K60"/>
  <sheetViews>
    <sheetView workbookViewId="0">
      <pane xSplit="1" ySplit="4" topLeftCell="B5" activePane="bottomRight" state="frozen"/>
      <selection activeCell="J35" sqref="J35"/>
      <selection pane="topRight" activeCell="J35" sqref="J35"/>
      <selection pane="bottomLeft" activeCell="J35" sqref="J35"/>
      <selection pane="bottomRight" sqref="A1:XFD1048576"/>
    </sheetView>
  </sheetViews>
  <sheetFormatPr defaultRowHeight="15" x14ac:dyDescent="0.25"/>
  <cols>
    <col min="1" max="1" width="23" style="122" customWidth="1"/>
    <col min="2" max="2" width="16.7109375" style="6" customWidth="1"/>
    <col min="3" max="4" width="9.140625" style="122"/>
    <col min="5" max="5" width="10.140625" style="122" bestFit="1" customWidth="1"/>
    <col min="6" max="6" width="9.140625" style="122"/>
    <col min="7" max="7" width="11.7109375" style="122" customWidth="1"/>
    <col min="8" max="8" width="21.42578125" style="122" bestFit="1" customWidth="1"/>
    <col min="9" max="9" width="10.85546875" style="6" bestFit="1" customWidth="1"/>
    <col min="10" max="10" width="15.140625" style="122" customWidth="1"/>
    <col min="11" max="11" width="9.140625" style="122"/>
    <col min="12" max="12" width="10.140625" style="122" bestFit="1" customWidth="1"/>
    <col min="13" max="16384" width="9.140625" style="122"/>
  </cols>
  <sheetData>
    <row r="1" spans="1:10" x14ac:dyDescent="0.25">
      <c r="C1" s="6"/>
      <c r="D1" s="6"/>
      <c r="E1" s="6"/>
      <c r="F1" s="6"/>
      <c r="G1" s="6"/>
      <c r="H1" s="6"/>
    </row>
    <row r="2" spans="1:10" x14ac:dyDescent="0.25">
      <c r="A2" s="49" t="s">
        <v>34</v>
      </c>
      <c r="C2" s="6"/>
      <c r="D2" s="6"/>
      <c r="E2" s="6"/>
      <c r="F2" s="6"/>
      <c r="G2" s="6"/>
      <c r="H2" s="6"/>
    </row>
    <row r="3" spans="1:10" x14ac:dyDescent="0.25">
      <c r="C3" s="6"/>
      <c r="D3" s="6"/>
      <c r="E3" s="6"/>
      <c r="F3" s="6"/>
      <c r="G3" s="6"/>
      <c r="H3" s="6"/>
    </row>
    <row r="4" spans="1:10" s="72" customFormat="1" ht="45" x14ac:dyDescent="0.25">
      <c r="B4" s="100" t="s">
        <v>35</v>
      </c>
      <c r="C4" s="100" t="s">
        <v>36</v>
      </c>
      <c r="D4" s="100"/>
      <c r="E4" s="100" t="s">
        <v>37</v>
      </c>
      <c r="F4" s="100"/>
      <c r="G4" s="100" t="s">
        <v>115</v>
      </c>
      <c r="H4" s="100"/>
      <c r="I4" s="101" t="s">
        <v>116</v>
      </c>
      <c r="J4" s="101"/>
    </row>
    <row r="5" spans="1:10" s="102" customFormat="1" x14ac:dyDescent="0.25">
      <c r="A5" s="102" t="s">
        <v>88</v>
      </c>
      <c r="B5" s="103">
        <v>5201.4799999999996</v>
      </c>
      <c r="C5" s="103"/>
      <c r="D5" s="103"/>
      <c r="E5" s="103"/>
      <c r="F5" s="103"/>
      <c r="G5" s="103"/>
      <c r="H5" s="103"/>
      <c r="I5" s="103">
        <f>SUM(B5+C5-E5+G5)</f>
        <v>5201.4799999999996</v>
      </c>
    </row>
    <row r="6" spans="1:10" x14ac:dyDescent="0.25">
      <c r="C6" s="6"/>
      <c r="D6" s="6"/>
      <c r="E6" s="6"/>
      <c r="F6" s="6"/>
      <c r="G6" s="6"/>
      <c r="H6" s="6"/>
      <c r="I6" s="103"/>
    </row>
    <row r="7" spans="1:10" x14ac:dyDescent="0.25">
      <c r="A7" s="122" t="s">
        <v>92</v>
      </c>
      <c r="B7" s="132">
        <v>40667.75</v>
      </c>
      <c r="C7" s="6"/>
      <c r="D7" s="6"/>
      <c r="E7" s="6"/>
      <c r="F7" s="6"/>
      <c r="G7" s="6"/>
      <c r="H7" s="6"/>
      <c r="I7" s="29">
        <v>40667.75</v>
      </c>
    </row>
    <row r="8" spans="1:10" x14ac:dyDescent="0.25">
      <c r="A8" s="122" t="s">
        <v>208</v>
      </c>
      <c r="C8" s="6"/>
      <c r="D8" s="6"/>
      <c r="E8" s="6">
        <v>412.73</v>
      </c>
      <c r="F8" s="6"/>
      <c r="G8" s="6"/>
      <c r="H8" s="6"/>
      <c r="I8" s="29">
        <f t="shared" ref="I8:I11" si="0">SUM(B8+C8-E8+G8)</f>
        <v>-412.73</v>
      </c>
    </row>
    <row r="9" spans="1:10" s="153" customFormat="1" x14ac:dyDescent="0.25">
      <c r="A9" s="153" t="s">
        <v>225</v>
      </c>
      <c r="B9" s="154"/>
      <c r="C9" s="154"/>
      <c r="D9" s="154"/>
      <c r="E9" s="154">
        <v>1962</v>
      </c>
      <c r="F9" s="154"/>
      <c r="G9" s="154"/>
      <c r="H9" s="154"/>
      <c r="I9" s="160">
        <f t="shared" si="0"/>
        <v>-1962</v>
      </c>
    </row>
    <row r="10" spans="1:10" s="153" customFormat="1" x14ac:dyDescent="0.25">
      <c r="A10" s="153" t="s">
        <v>226</v>
      </c>
      <c r="B10" s="154"/>
      <c r="C10" s="154"/>
      <c r="D10" s="154"/>
      <c r="E10" s="154">
        <v>190</v>
      </c>
      <c r="F10" s="154"/>
      <c r="G10" s="154"/>
      <c r="H10" s="154"/>
      <c r="I10" s="160">
        <f t="shared" si="0"/>
        <v>-190</v>
      </c>
    </row>
    <row r="11" spans="1:10" s="153" customFormat="1" x14ac:dyDescent="0.25">
      <c r="B11" s="154"/>
      <c r="C11" s="154"/>
      <c r="D11" s="154"/>
      <c r="E11" s="154"/>
      <c r="F11" s="154"/>
      <c r="G11" s="154"/>
      <c r="H11" s="154"/>
      <c r="I11" s="160">
        <f t="shared" si="0"/>
        <v>0</v>
      </c>
    </row>
    <row r="12" spans="1:10" x14ac:dyDescent="0.25">
      <c r="A12" s="127" t="s">
        <v>217</v>
      </c>
      <c r="B12" s="6">
        <f>SUM(B7:B11)</f>
        <v>40667.75</v>
      </c>
      <c r="C12" s="154">
        <f>SUM(C7:C11)</f>
        <v>0</v>
      </c>
      <c r="D12" s="6"/>
      <c r="E12" s="154">
        <f>SUM(E7:E11)</f>
        <v>2564.73</v>
      </c>
      <c r="F12" s="6"/>
      <c r="G12" s="6"/>
      <c r="H12" s="6"/>
      <c r="I12" s="154">
        <f>SUM(I7:I11)</f>
        <v>38103.019999999997</v>
      </c>
    </row>
    <row r="13" spans="1:10" s="153" customFormat="1" x14ac:dyDescent="0.25">
      <c r="A13" s="165"/>
      <c r="B13" s="154"/>
      <c r="C13" s="154"/>
      <c r="D13" s="154"/>
      <c r="E13" s="154"/>
      <c r="F13" s="154"/>
      <c r="G13" s="154"/>
      <c r="H13" s="154"/>
      <c r="I13" s="154"/>
    </row>
    <row r="14" spans="1:10" s="153" customFormat="1" x14ac:dyDescent="0.25">
      <c r="A14" s="153" t="s">
        <v>149</v>
      </c>
      <c r="B14" s="154">
        <v>2000</v>
      </c>
      <c r="C14" s="154"/>
      <c r="D14" s="154"/>
      <c r="E14" s="154"/>
      <c r="F14" s="154"/>
      <c r="G14" s="154"/>
      <c r="H14" s="154"/>
      <c r="I14" s="160">
        <f t="shared" ref="I14:I15" si="1">SUM(B14+C14-E14+G14)</f>
        <v>2000</v>
      </c>
    </row>
    <row r="15" spans="1:10" s="153" customFormat="1" x14ac:dyDescent="0.25">
      <c r="A15" s="153" t="s">
        <v>196</v>
      </c>
      <c r="B15" s="154"/>
      <c r="C15" s="154">
        <v>1280</v>
      </c>
      <c r="D15" s="154"/>
      <c r="E15" s="154">
        <f>[1]Payments!E30</f>
        <v>1279.9399999999998</v>
      </c>
      <c r="F15" s="154"/>
      <c r="G15" s="154"/>
      <c r="H15" s="154"/>
      <c r="I15" s="160">
        <f t="shared" si="1"/>
        <v>6.0000000000172804E-2</v>
      </c>
    </row>
    <row r="16" spans="1:10" s="153" customFormat="1" x14ac:dyDescent="0.25">
      <c r="A16" s="153" t="s">
        <v>91</v>
      </c>
      <c r="B16" s="154">
        <v>1500</v>
      </c>
      <c r="C16" s="154"/>
      <c r="D16" s="154"/>
      <c r="E16" s="154"/>
      <c r="F16" s="154"/>
      <c r="G16" s="154"/>
      <c r="H16" s="154"/>
      <c r="I16" s="154">
        <f>SUM(B16+C16-E16)</f>
        <v>1500</v>
      </c>
    </row>
    <row r="17" spans="1:11" x14ac:dyDescent="0.25">
      <c r="C17" s="6"/>
      <c r="D17" s="6"/>
      <c r="E17" s="6"/>
      <c r="F17" s="6"/>
      <c r="G17" s="6"/>
      <c r="H17" s="6"/>
    </row>
    <row r="18" spans="1:11" x14ac:dyDescent="0.25">
      <c r="A18" s="49" t="s">
        <v>39</v>
      </c>
      <c r="C18" s="6"/>
      <c r="D18" s="6"/>
      <c r="E18" s="6"/>
      <c r="F18" s="6"/>
      <c r="G18" s="6"/>
      <c r="H18" s="6"/>
    </row>
    <row r="19" spans="1:11" s="50" customFormat="1" x14ac:dyDescent="0.25">
      <c r="A19" s="50" t="s">
        <v>40</v>
      </c>
      <c r="B19" s="104">
        <v>1469.3</v>
      </c>
      <c r="C19" s="105">
        <v>4030</v>
      </c>
      <c r="D19" s="105"/>
      <c r="E19" s="105">
        <v>22872</v>
      </c>
      <c r="F19" s="105"/>
      <c r="G19" s="105">
        <v>3812</v>
      </c>
      <c r="H19" s="105"/>
      <c r="I19" s="105">
        <f>B19+C19-E19+G19</f>
        <v>-13560.7</v>
      </c>
      <c r="J19" s="105"/>
    </row>
    <row r="20" spans="1:11" x14ac:dyDescent="0.25">
      <c r="C20" s="6"/>
      <c r="D20" s="6"/>
      <c r="E20" s="6"/>
      <c r="F20" s="6"/>
      <c r="G20" s="6"/>
      <c r="H20" s="6"/>
      <c r="I20" s="45"/>
      <c r="J20" s="6"/>
    </row>
    <row r="21" spans="1:11" s="106" customFormat="1" x14ac:dyDescent="0.25">
      <c r="A21" s="106" t="s">
        <v>41</v>
      </c>
      <c r="B21" s="107"/>
      <c r="C21" s="107"/>
      <c r="D21" s="107"/>
      <c r="E21" s="107"/>
      <c r="F21" s="107"/>
      <c r="G21" s="107"/>
      <c r="H21" s="107"/>
      <c r="I21" s="107">
        <f>SUM(B21-C21)</f>
        <v>0</v>
      </c>
    </row>
    <row r="22" spans="1:11" s="106" customFormat="1" x14ac:dyDescent="0.25">
      <c r="A22" s="110">
        <v>43927</v>
      </c>
      <c r="B22" s="107"/>
      <c r="C22" s="107">
        <v>74.959999999999994</v>
      </c>
      <c r="D22" s="107"/>
      <c r="E22" s="107"/>
      <c r="F22" s="107"/>
      <c r="G22" s="107"/>
      <c r="H22" s="107"/>
      <c r="I22" s="107">
        <f>SUM(I21+C22-E22)</f>
        <v>74.959999999999994</v>
      </c>
    </row>
    <row r="23" spans="1:11" s="106" customFormat="1" x14ac:dyDescent="0.25">
      <c r="A23" s="110">
        <v>43957</v>
      </c>
      <c r="B23" s="107"/>
      <c r="C23" s="107">
        <v>74.959999999999994</v>
      </c>
      <c r="D23" s="107"/>
      <c r="E23" s="107">
        <f>Payments!E27+Payments!E28</f>
        <v>962.98</v>
      </c>
      <c r="F23" s="106" t="s">
        <v>197</v>
      </c>
      <c r="G23" s="107"/>
      <c r="H23" s="107"/>
      <c r="I23" s="107">
        <f t="shared" ref="I23:I35" si="2">SUM(I22+C23-E23)</f>
        <v>-813.06000000000006</v>
      </c>
    </row>
    <row r="24" spans="1:11" s="106" customFormat="1" x14ac:dyDescent="0.25">
      <c r="A24" s="110">
        <v>43990</v>
      </c>
      <c r="B24" s="107"/>
      <c r="C24" s="107">
        <v>74.959999999999994</v>
      </c>
      <c r="D24" s="107"/>
      <c r="E24" s="107"/>
      <c r="F24" s="107"/>
      <c r="G24" s="107"/>
      <c r="H24" s="107"/>
      <c r="I24" s="107">
        <f t="shared" si="2"/>
        <v>-738.1</v>
      </c>
      <c r="K24" s="107"/>
    </row>
    <row r="25" spans="1:11" s="106" customFormat="1" x14ac:dyDescent="0.25">
      <c r="A25" s="110">
        <v>44501</v>
      </c>
      <c r="B25" s="107"/>
      <c r="C25" s="107">
        <v>101.64</v>
      </c>
      <c r="D25" s="107"/>
      <c r="E25" s="107"/>
      <c r="F25" s="107"/>
      <c r="G25" s="107"/>
      <c r="H25" s="107"/>
      <c r="I25" s="107">
        <f t="shared" si="2"/>
        <v>-636.46</v>
      </c>
      <c r="K25" s="107"/>
    </row>
    <row r="26" spans="1:11" s="106" customFormat="1" x14ac:dyDescent="0.25">
      <c r="A26" s="110">
        <v>44529</v>
      </c>
      <c r="B26" s="107"/>
      <c r="C26" s="107">
        <v>101.64</v>
      </c>
      <c r="D26" s="107"/>
      <c r="E26" s="107"/>
      <c r="F26" s="107"/>
      <c r="G26" s="107"/>
      <c r="H26" s="107"/>
      <c r="I26" s="107">
        <f t="shared" si="2"/>
        <v>-534.82000000000005</v>
      </c>
      <c r="K26" s="107"/>
    </row>
    <row r="27" spans="1:11" s="106" customFormat="1" x14ac:dyDescent="0.25">
      <c r="A27" s="110"/>
      <c r="B27" s="107"/>
      <c r="C27" s="107"/>
      <c r="D27" s="107"/>
      <c r="E27" s="107"/>
      <c r="F27" s="107"/>
      <c r="G27" s="107"/>
      <c r="H27" s="107"/>
      <c r="I27" s="107">
        <f t="shared" si="2"/>
        <v>-534.82000000000005</v>
      </c>
      <c r="K27" s="107"/>
    </row>
    <row r="28" spans="1:11" s="106" customFormat="1" x14ac:dyDescent="0.25">
      <c r="A28" s="110"/>
      <c r="B28" s="107"/>
      <c r="C28" s="107"/>
      <c r="D28" s="107"/>
      <c r="E28" s="107"/>
      <c r="F28" s="107"/>
      <c r="G28" s="107"/>
      <c r="H28" s="107"/>
      <c r="I28" s="107">
        <f t="shared" si="2"/>
        <v>-534.82000000000005</v>
      </c>
      <c r="K28" s="107"/>
    </row>
    <row r="29" spans="1:11" s="106" customFormat="1" x14ac:dyDescent="0.25">
      <c r="A29" s="110"/>
      <c r="B29" s="107"/>
      <c r="C29" s="107"/>
      <c r="D29" s="107"/>
      <c r="E29" s="107"/>
      <c r="F29" s="107"/>
      <c r="G29" s="107"/>
      <c r="H29" s="107"/>
      <c r="I29" s="107">
        <f t="shared" si="2"/>
        <v>-534.82000000000005</v>
      </c>
      <c r="K29" s="107"/>
    </row>
    <row r="30" spans="1:11" s="106" customFormat="1" x14ac:dyDescent="0.25">
      <c r="A30" s="110"/>
      <c r="B30" s="107"/>
      <c r="C30" s="107"/>
      <c r="D30" s="107"/>
      <c r="E30" s="107"/>
      <c r="F30" s="107"/>
      <c r="G30" s="107"/>
      <c r="H30" s="107"/>
      <c r="I30" s="107">
        <f t="shared" si="2"/>
        <v>-534.82000000000005</v>
      </c>
      <c r="K30" s="107"/>
    </row>
    <row r="31" spans="1:11" s="106" customFormat="1" x14ac:dyDescent="0.25">
      <c r="A31" s="110"/>
      <c r="B31" s="107"/>
      <c r="C31" s="107"/>
      <c r="D31" s="107"/>
      <c r="E31" s="107"/>
      <c r="F31" s="107"/>
      <c r="G31" s="107"/>
      <c r="H31" s="107"/>
      <c r="I31" s="107">
        <f t="shared" si="2"/>
        <v>-534.82000000000005</v>
      </c>
      <c r="K31" s="107"/>
    </row>
    <row r="32" spans="1:11" s="106" customFormat="1" x14ac:dyDescent="0.25">
      <c r="A32" s="110"/>
      <c r="B32" s="107"/>
      <c r="C32" s="107"/>
      <c r="D32" s="107"/>
      <c r="E32" s="107"/>
      <c r="F32" s="107"/>
      <c r="G32" s="107"/>
      <c r="H32" s="107"/>
      <c r="I32" s="107">
        <f t="shared" si="2"/>
        <v>-534.82000000000005</v>
      </c>
      <c r="K32" s="107"/>
    </row>
    <row r="33" spans="1:11" s="106" customFormat="1" x14ac:dyDescent="0.25">
      <c r="A33" s="110"/>
      <c r="B33" s="107"/>
      <c r="C33" s="107"/>
      <c r="D33" s="107"/>
      <c r="E33" s="107"/>
      <c r="F33" s="107"/>
      <c r="G33" s="107"/>
      <c r="H33" s="107"/>
      <c r="I33" s="107">
        <f t="shared" si="2"/>
        <v>-534.82000000000005</v>
      </c>
      <c r="K33" s="107"/>
    </row>
    <row r="34" spans="1:11" s="106" customFormat="1" x14ac:dyDescent="0.25">
      <c r="A34" s="110"/>
      <c r="B34" s="107"/>
      <c r="C34" s="107"/>
      <c r="D34" s="107"/>
      <c r="E34" s="107"/>
      <c r="F34" s="107"/>
      <c r="G34" s="107"/>
      <c r="H34" s="107"/>
      <c r="I34" s="107">
        <f t="shared" si="2"/>
        <v>-534.82000000000005</v>
      </c>
      <c r="K34" s="107"/>
    </row>
    <row r="35" spans="1:11" s="106" customFormat="1" x14ac:dyDescent="0.25">
      <c r="A35" s="110"/>
      <c r="B35" s="107"/>
      <c r="C35" s="107"/>
      <c r="D35" s="107"/>
      <c r="E35" s="107"/>
      <c r="F35" s="107"/>
      <c r="G35" s="107"/>
      <c r="H35" s="107"/>
      <c r="I35" s="107">
        <f t="shared" si="2"/>
        <v>-534.82000000000005</v>
      </c>
      <c r="J35" s="107">
        <f>E35+'Expenditure Other'!E12+'Expenditure Other'!E15+'Expenditure Other'!E23</f>
        <v>4807.6499999999996</v>
      </c>
      <c r="K35" s="107"/>
    </row>
    <row r="36" spans="1:11" s="106" customFormat="1" x14ac:dyDescent="0.25">
      <c r="A36" s="110"/>
      <c r="B36" s="107"/>
      <c r="C36" s="107"/>
      <c r="D36" s="107"/>
      <c r="F36" s="107"/>
      <c r="G36" s="107"/>
      <c r="H36" s="107"/>
      <c r="I36" s="107"/>
      <c r="K36" s="107"/>
    </row>
    <row r="37" spans="1:11" s="106" customFormat="1" x14ac:dyDescent="0.25">
      <c r="A37" s="110"/>
      <c r="B37" s="107"/>
      <c r="C37" s="107"/>
      <c r="D37" s="107"/>
      <c r="E37" s="107"/>
      <c r="F37" s="107"/>
      <c r="G37" s="107"/>
      <c r="H37" s="107"/>
      <c r="I37" s="107"/>
      <c r="K37" s="107"/>
    </row>
    <row r="38" spans="1:11" s="106" customFormat="1" x14ac:dyDescent="0.25">
      <c r="A38" s="110"/>
      <c r="B38" s="107"/>
      <c r="C38" s="107"/>
      <c r="D38" s="107"/>
      <c r="E38" s="107"/>
      <c r="F38" s="107"/>
      <c r="G38" s="107"/>
      <c r="H38" s="107"/>
      <c r="I38" s="107"/>
      <c r="K38" s="107"/>
    </row>
    <row r="39" spans="1:11" s="106" customFormat="1" x14ac:dyDescent="0.25">
      <c r="A39" s="110"/>
      <c r="B39" s="107"/>
      <c r="C39" s="107"/>
      <c r="D39" s="107"/>
      <c r="E39" s="107"/>
      <c r="F39" s="107"/>
      <c r="G39" s="107"/>
      <c r="H39" s="107"/>
      <c r="I39" s="107"/>
      <c r="K39" s="107"/>
    </row>
    <row r="40" spans="1:11" s="106" customFormat="1" x14ac:dyDescent="0.25">
      <c r="A40" s="110"/>
      <c r="B40" s="107"/>
      <c r="C40" s="107"/>
      <c r="D40" s="107"/>
      <c r="E40" s="107"/>
      <c r="F40" s="107"/>
      <c r="G40" s="107"/>
      <c r="H40" s="107"/>
      <c r="I40" s="107"/>
      <c r="K40" s="107"/>
    </row>
    <row r="41" spans="1:11" s="106" customFormat="1" x14ac:dyDescent="0.25">
      <c r="A41" s="110"/>
      <c r="B41" s="107"/>
      <c r="C41" s="107"/>
      <c r="D41" s="107"/>
      <c r="E41" s="107"/>
      <c r="F41" s="107"/>
      <c r="G41" s="107"/>
      <c r="H41" s="107"/>
      <c r="I41" s="107"/>
      <c r="K41" s="107"/>
    </row>
    <row r="42" spans="1:11" s="106" customFormat="1" x14ac:dyDescent="0.25">
      <c r="A42" s="125" t="s">
        <v>134</v>
      </c>
      <c r="B42" s="107"/>
      <c r="C42" s="107"/>
      <c r="D42" s="107"/>
      <c r="E42" s="107"/>
      <c r="F42" s="107"/>
      <c r="G42" s="107"/>
      <c r="H42" s="107"/>
      <c r="I42" s="107"/>
      <c r="K42" s="107"/>
    </row>
    <row r="43" spans="1:11" s="106" customFormat="1" x14ac:dyDescent="0.25">
      <c r="A43" s="110"/>
      <c r="B43" s="107"/>
      <c r="C43" s="107"/>
      <c r="D43" s="107"/>
      <c r="E43" s="107"/>
      <c r="F43" s="107"/>
      <c r="G43" s="107"/>
      <c r="H43" s="107"/>
      <c r="I43" s="107"/>
      <c r="K43" s="107"/>
    </row>
    <row r="44" spans="1:11" s="42" customFormat="1" x14ac:dyDescent="0.25">
      <c r="A44" s="42" t="s">
        <v>42</v>
      </c>
      <c r="B44" s="45">
        <v>906.62</v>
      </c>
      <c r="C44" s="45"/>
      <c r="D44" s="45"/>
      <c r="E44" s="45">
        <v>13764.78</v>
      </c>
      <c r="F44" s="45"/>
      <c r="G44" s="45">
        <v>1356.4</v>
      </c>
      <c r="H44" s="45"/>
      <c r="I44" s="45">
        <f>SUM(B44+C44-E44+G44)</f>
        <v>-11501.76</v>
      </c>
    </row>
    <row r="45" spans="1:11" s="42" customFormat="1" x14ac:dyDescent="0.25">
      <c r="A45" s="42" t="s">
        <v>146</v>
      </c>
      <c r="B45" s="45"/>
      <c r="C45" s="45"/>
      <c r="D45" s="45"/>
      <c r="E45" s="45"/>
      <c r="F45" s="45"/>
      <c r="G45" s="45"/>
      <c r="H45" s="45"/>
      <c r="I45" s="45">
        <f>SUM(I44-E45)</f>
        <v>-11501.76</v>
      </c>
    </row>
    <row r="46" spans="1:11" s="123" customFormat="1" x14ac:dyDescent="0.25">
      <c r="B46" s="124"/>
      <c r="C46" s="124"/>
      <c r="D46" s="124"/>
      <c r="F46" s="124"/>
      <c r="G46" s="124"/>
      <c r="H46" s="124"/>
      <c r="I46" s="124"/>
    </row>
    <row r="47" spans="1:11" x14ac:dyDescent="0.25">
      <c r="C47" s="6"/>
      <c r="D47" s="6"/>
      <c r="E47" s="6"/>
      <c r="F47" s="6"/>
      <c r="G47" s="6"/>
      <c r="H47" s="6"/>
    </row>
    <row r="48" spans="1:11" s="39" customFormat="1" x14ac:dyDescent="0.25">
      <c r="B48" s="47"/>
      <c r="C48" s="47"/>
      <c r="D48" s="47"/>
      <c r="E48" s="47"/>
      <c r="F48" s="47"/>
      <c r="G48" s="47"/>
      <c r="H48" s="47"/>
      <c r="I48" s="47"/>
    </row>
    <row r="49" spans="1:10" x14ac:dyDescent="0.25">
      <c r="H49" s="7"/>
      <c r="I49" s="76"/>
    </row>
    <row r="53" spans="1:10" x14ac:dyDescent="0.25">
      <c r="B53" s="69" t="s">
        <v>142</v>
      </c>
      <c r="E53" s="68" t="s">
        <v>143</v>
      </c>
      <c r="I53" s="69" t="s">
        <v>16</v>
      </c>
    </row>
    <row r="54" spans="1:10" x14ac:dyDescent="0.25">
      <c r="A54" s="123" t="s">
        <v>132</v>
      </c>
      <c r="B54" s="124">
        <v>25681.96</v>
      </c>
      <c r="E54" s="124"/>
      <c r="I54" s="124">
        <f>SUM(B54+C54-E54+G54)</f>
        <v>25681.96</v>
      </c>
      <c r="J54" s="122" t="s">
        <v>155</v>
      </c>
    </row>
    <row r="55" spans="1:10" x14ac:dyDescent="0.25">
      <c r="A55" s="123"/>
      <c r="B55" s="124"/>
      <c r="E55" s="124"/>
      <c r="I55" s="124"/>
    </row>
    <row r="56" spans="1:10" x14ac:dyDescent="0.25">
      <c r="A56" s="123"/>
      <c r="B56" s="124"/>
      <c r="E56" s="124"/>
      <c r="I56" s="124"/>
    </row>
    <row r="57" spans="1:10" x14ac:dyDescent="0.25">
      <c r="A57" s="123"/>
      <c r="B57" s="124"/>
      <c r="E57" s="124"/>
      <c r="I57" s="124"/>
    </row>
    <row r="58" spans="1:10" s="50" customFormat="1" x14ac:dyDescent="0.25">
      <c r="A58" s="51" t="s">
        <v>154</v>
      </c>
      <c r="B58" s="109">
        <v>500</v>
      </c>
      <c r="E58" s="109"/>
      <c r="I58" s="167">
        <f>SUM(B58+C58-E58+G58)</f>
        <v>500</v>
      </c>
    </row>
    <row r="60" spans="1:10" x14ac:dyDescent="0.25">
      <c r="A60" s="122" t="s">
        <v>153</v>
      </c>
      <c r="B60" s="6">
        <v>100</v>
      </c>
      <c r="I60" s="159">
        <f>SUM(B60+C60-E60+G60)</f>
        <v>100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9B79F-DFD8-4BC0-9F0A-3C5147CE7DF2}">
  <dimension ref="A1:J35"/>
  <sheetViews>
    <sheetView topLeftCell="A7" workbookViewId="0">
      <selection activeCell="E8" sqref="E8"/>
    </sheetView>
  </sheetViews>
  <sheetFormatPr defaultRowHeight="15" x14ac:dyDescent="0.25"/>
  <cols>
    <col min="1" max="2" width="25" customWidth="1"/>
    <col min="3" max="3" width="10.140625" bestFit="1" customWidth="1"/>
    <col min="5" max="5" width="10.140625" style="6" bestFit="1" customWidth="1"/>
    <col min="7" max="7" width="10.140625" style="6" bestFit="1" customWidth="1"/>
    <col min="10" max="10" width="10.140625" bestFit="1" customWidth="1"/>
  </cols>
  <sheetData>
    <row r="1" spans="1:10" x14ac:dyDescent="0.25">
      <c r="B1" s="49" t="s">
        <v>0</v>
      </c>
    </row>
    <row r="3" spans="1:10" s="54" customFormat="1" x14ac:dyDescent="0.25">
      <c r="B3" s="54" t="s">
        <v>150</v>
      </c>
      <c r="E3" s="120"/>
      <c r="G3" s="120"/>
    </row>
    <row r="5" spans="1:10" s="38" customFormat="1" x14ac:dyDescent="0.25">
      <c r="C5" s="38" t="s">
        <v>43</v>
      </c>
      <c r="E5" s="43" t="s">
        <v>3</v>
      </c>
      <c r="G5" s="43" t="s">
        <v>4</v>
      </c>
      <c r="H5" s="38" t="s">
        <v>5</v>
      </c>
    </row>
    <row r="6" spans="1:10" x14ac:dyDescent="0.25">
      <c r="C6">
        <v>2021</v>
      </c>
    </row>
    <row r="7" spans="1:10" x14ac:dyDescent="0.25">
      <c r="C7" t="s">
        <v>6</v>
      </c>
      <c r="E7" s="6" t="s">
        <v>6</v>
      </c>
      <c r="G7" s="6" t="s">
        <v>6</v>
      </c>
    </row>
    <row r="8" spans="1:10" x14ac:dyDescent="0.25">
      <c r="A8" t="s">
        <v>7</v>
      </c>
      <c r="B8" s="40" t="s">
        <v>8</v>
      </c>
      <c r="C8" s="6">
        <v>2000</v>
      </c>
      <c r="E8" s="157">
        <f>'Expenditure Profile'!P10</f>
        <v>500</v>
      </c>
      <c r="G8" s="6">
        <f t="shared" ref="G8:G17" si="0">SUM(C8-E8)</f>
        <v>1500</v>
      </c>
      <c r="J8" s="6"/>
    </row>
    <row r="9" spans="1:10" x14ac:dyDescent="0.25">
      <c r="A9" t="s">
        <v>9</v>
      </c>
      <c r="B9" s="40" t="s">
        <v>10</v>
      </c>
      <c r="C9" s="6">
        <v>1500</v>
      </c>
      <c r="E9" s="157">
        <f>'Expenditure Profile'!P11</f>
        <v>1500</v>
      </c>
      <c r="G9" s="6">
        <f t="shared" si="0"/>
        <v>0</v>
      </c>
      <c r="J9" s="6"/>
    </row>
    <row r="10" spans="1:10" x14ac:dyDescent="0.25">
      <c r="B10" s="40" t="s">
        <v>11</v>
      </c>
      <c r="C10" s="6">
        <v>1300</v>
      </c>
      <c r="E10" s="157">
        <f>'Expenditure Profile'!P12</f>
        <v>1260</v>
      </c>
      <c r="G10" s="6">
        <f t="shared" si="0"/>
        <v>40</v>
      </c>
      <c r="J10" s="8"/>
    </row>
    <row r="11" spans="1:10" x14ac:dyDescent="0.25">
      <c r="B11" s="40" t="s">
        <v>12</v>
      </c>
      <c r="C11" s="6">
        <v>150</v>
      </c>
      <c r="E11" s="6">
        <f>'Expenditure Profile'!P13</f>
        <v>26.46</v>
      </c>
      <c r="G11" s="6">
        <f t="shared" si="0"/>
        <v>123.53999999999999</v>
      </c>
      <c r="J11" s="8"/>
    </row>
    <row r="12" spans="1:10" x14ac:dyDescent="0.25">
      <c r="B12" s="40" t="s">
        <v>13</v>
      </c>
      <c r="C12" s="6">
        <v>319</v>
      </c>
      <c r="E12" s="6">
        <f>'Expenditure Profile'!P14</f>
        <v>350</v>
      </c>
      <c r="G12" s="6">
        <f t="shared" si="0"/>
        <v>-31</v>
      </c>
      <c r="J12" s="8"/>
    </row>
    <row r="13" spans="1:10" x14ac:dyDescent="0.25">
      <c r="B13" s="40" t="s">
        <v>38</v>
      </c>
      <c r="C13" s="6">
        <v>1400</v>
      </c>
      <c r="E13" s="6">
        <f>'Expenditure Profile'!P15</f>
        <v>2103.6999999999998</v>
      </c>
      <c r="G13" s="6">
        <f t="shared" si="0"/>
        <v>-703.69999999999982</v>
      </c>
      <c r="J13" s="8"/>
    </row>
    <row r="14" spans="1:10" x14ac:dyDescent="0.25">
      <c r="B14" s="40" t="s">
        <v>44</v>
      </c>
      <c r="C14" s="6">
        <v>100</v>
      </c>
      <c r="E14" s="6">
        <f>'Expenditure Profile'!P16</f>
        <v>0</v>
      </c>
      <c r="G14" s="6">
        <f t="shared" si="0"/>
        <v>100</v>
      </c>
      <c r="J14" s="8"/>
    </row>
    <row r="15" spans="1:10" x14ac:dyDescent="0.25">
      <c r="B15" s="40" t="s">
        <v>86</v>
      </c>
      <c r="C15" s="6">
        <v>400</v>
      </c>
      <c r="E15" s="6">
        <f>'Expenditure Profile'!P17</f>
        <v>0</v>
      </c>
      <c r="G15" s="6">
        <f t="shared" si="0"/>
        <v>400</v>
      </c>
      <c r="J15" s="8"/>
    </row>
    <row r="16" spans="1:10" x14ac:dyDescent="0.25">
      <c r="B16" s="40" t="s">
        <v>14</v>
      </c>
      <c r="C16" s="6">
        <v>2500</v>
      </c>
      <c r="E16" s="6">
        <f>'Expenditure Profile'!P18</f>
        <v>2874</v>
      </c>
      <c r="G16" s="6">
        <f t="shared" si="0"/>
        <v>-374</v>
      </c>
      <c r="J16" s="8"/>
    </row>
    <row r="17" spans="1:10" x14ac:dyDescent="0.25">
      <c r="B17" s="40" t="s">
        <v>15</v>
      </c>
      <c r="C17" s="6">
        <v>300</v>
      </c>
      <c r="E17" s="6">
        <f>'Expenditure Profile'!P19</f>
        <v>169.8</v>
      </c>
      <c r="G17" s="6">
        <f t="shared" si="0"/>
        <v>130.19999999999999</v>
      </c>
      <c r="J17" s="6"/>
    </row>
    <row r="18" spans="1:10" x14ac:dyDescent="0.25">
      <c r="B18" s="41" t="s">
        <v>90</v>
      </c>
      <c r="C18" s="43">
        <f>SUM(C8:C17)</f>
        <v>9969</v>
      </c>
      <c r="D18" s="43"/>
      <c r="E18" s="43">
        <f>SUM(E8:E17)</f>
        <v>8783.9599999999991</v>
      </c>
      <c r="F18" s="43"/>
      <c r="G18" s="43">
        <f t="shared" ref="G18" si="1">SUM(G8:G17)</f>
        <v>1185.0400000000002</v>
      </c>
      <c r="J18" s="43"/>
    </row>
    <row r="19" spans="1:10" s="38" customFormat="1" x14ac:dyDescent="0.25">
      <c r="B19" s="40" t="s">
        <v>18</v>
      </c>
      <c r="C19" s="6">
        <v>400</v>
      </c>
      <c r="E19" s="6">
        <f>'Expenditure Profile'!P21</f>
        <v>548</v>
      </c>
      <c r="G19" s="29">
        <f t="shared" ref="G19:G32" si="2">SUM(C19-E19)</f>
        <v>-148</v>
      </c>
      <c r="H19" s="53"/>
      <c r="J19" s="6"/>
    </row>
    <row r="20" spans="1:10" x14ac:dyDescent="0.25">
      <c r="A20" t="s">
        <v>17</v>
      </c>
      <c r="B20" s="40" t="s">
        <v>19</v>
      </c>
      <c r="C20" s="6">
        <v>9200</v>
      </c>
      <c r="E20" s="6">
        <f>'Expenditure Profile'!P22</f>
        <v>2016</v>
      </c>
      <c r="G20" s="6">
        <f>SUM(C20-E20)</f>
        <v>7184</v>
      </c>
      <c r="J20" s="6"/>
    </row>
    <row r="21" spans="1:10" x14ac:dyDescent="0.25">
      <c r="B21" s="40" t="s">
        <v>20</v>
      </c>
      <c r="C21" s="6">
        <v>1100</v>
      </c>
      <c r="E21" s="6">
        <f>'Expenditure Profile'!P23</f>
        <v>1096.3900000000001</v>
      </c>
      <c r="G21" s="6">
        <f t="shared" si="2"/>
        <v>3.6099999999999</v>
      </c>
      <c r="J21" s="6"/>
    </row>
    <row r="22" spans="1:10" x14ac:dyDescent="0.25">
      <c r="B22" s="40" t="s">
        <v>21</v>
      </c>
      <c r="C22" s="6">
        <v>100</v>
      </c>
      <c r="E22" s="6">
        <f>'Expenditure Profile'!P24</f>
        <v>196.2</v>
      </c>
      <c r="G22" s="6">
        <f t="shared" si="2"/>
        <v>-96.199999999999989</v>
      </c>
      <c r="J22" s="6"/>
    </row>
    <row r="23" spans="1:10" x14ac:dyDescent="0.25">
      <c r="B23" s="40" t="s">
        <v>22</v>
      </c>
      <c r="C23" s="6">
        <v>450</v>
      </c>
      <c r="E23" s="6">
        <f>'Expenditure Profile'!P25</f>
        <v>120</v>
      </c>
      <c r="G23" s="6">
        <f t="shared" si="2"/>
        <v>330</v>
      </c>
      <c r="J23" s="6"/>
    </row>
    <row r="24" spans="1:10" x14ac:dyDescent="0.25">
      <c r="B24" s="40" t="s">
        <v>23</v>
      </c>
      <c r="C24" s="6">
        <v>150</v>
      </c>
      <c r="E24" s="6">
        <f>'Expenditure Profile'!P26</f>
        <v>46.620000000000005</v>
      </c>
      <c r="G24" s="6">
        <f t="shared" si="2"/>
        <v>103.38</v>
      </c>
      <c r="J24" s="6"/>
    </row>
    <row r="25" spans="1:10" x14ac:dyDescent="0.25">
      <c r="B25" s="40" t="s">
        <v>24</v>
      </c>
      <c r="C25" s="6">
        <v>500</v>
      </c>
      <c r="E25" s="6">
        <f>'Expenditure Profile'!P27</f>
        <v>819.5300000000002</v>
      </c>
      <c r="G25" s="6">
        <f t="shared" si="2"/>
        <v>-319.5300000000002</v>
      </c>
      <c r="J25" s="6"/>
    </row>
    <row r="26" spans="1:10" x14ac:dyDescent="0.25">
      <c r="B26" s="40" t="s">
        <v>25</v>
      </c>
      <c r="C26" s="6">
        <v>400</v>
      </c>
      <c r="E26" s="6">
        <f>'Expenditure Profile'!P28</f>
        <v>0</v>
      </c>
      <c r="G26" s="6">
        <f t="shared" si="2"/>
        <v>400</v>
      </c>
      <c r="J26" s="6"/>
    </row>
    <row r="27" spans="1:10" x14ac:dyDescent="0.25">
      <c r="B27" s="40" t="s">
        <v>26</v>
      </c>
      <c r="C27" s="6">
        <v>500</v>
      </c>
      <c r="E27" s="6">
        <f>'Expenditure Profile'!P29</f>
        <v>2273.9900000000002</v>
      </c>
      <c r="G27" s="6">
        <f t="shared" si="2"/>
        <v>-1773.9900000000002</v>
      </c>
      <c r="H27" s="53"/>
      <c r="J27" s="6"/>
    </row>
    <row r="28" spans="1:10" x14ac:dyDescent="0.25">
      <c r="B28" s="40" t="s">
        <v>27</v>
      </c>
      <c r="C28" s="6">
        <v>500</v>
      </c>
      <c r="E28" s="6">
        <f>'Expenditure Profile'!P30</f>
        <v>0</v>
      </c>
      <c r="G28" s="6">
        <f t="shared" si="2"/>
        <v>500</v>
      </c>
      <c r="J28" s="6"/>
    </row>
    <row r="29" spans="1:10" x14ac:dyDescent="0.25">
      <c r="B29" s="40" t="s">
        <v>28</v>
      </c>
      <c r="C29" s="6">
        <v>100</v>
      </c>
      <c r="E29" s="6">
        <f>'Expenditure Profile'!P31</f>
        <v>0</v>
      </c>
      <c r="G29" s="6">
        <f t="shared" si="2"/>
        <v>100</v>
      </c>
      <c r="J29" s="6"/>
    </row>
    <row r="30" spans="1:10" s="122" customFormat="1" x14ac:dyDescent="0.25">
      <c r="B30" s="40" t="s">
        <v>202</v>
      </c>
      <c r="C30" s="6"/>
      <c r="E30" s="6">
        <f>'Expenditure Profile'!P32</f>
        <v>25</v>
      </c>
      <c r="G30" s="6">
        <f t="shared" ref="G30" si="3">SUM(C30-E30)</f>
        <v>-25</v>
      </c>
      <c r="J30" s="6"/>
    </row>
    <row r="31" spans="1:10" x14ac:dyDescent="0.25">
      <c r="B31" s="40" t="s">
        <v>29</v>
      </c>
      <c r="C31" s="6">
        <v>2631</v>
      </c>
      <c r="E31" s="6">
        <f>'Expenditure Profile'!P33</f>
        <v>2630.44</v>
      </c>
      <c r="G31" s="6">
        <f t="shared" si="2"/>
        <v>0.55999999999994543</v>
      </c>
      <c r="J31" s="6"/>
    </row>
    <row r="32" spans="1:10" s="122" customFormat="1" x14ac:dyDescent="0.25">
      <c r="B32" s="40" t="s">
        <v>91</v>
      </c>
      <c r="C32" s="6">
        <v>1000</v>
      </c>
      <c r="E32" s="6">
        <f>'Expenditure Profile'!P34</f>
        <v>0</v>
      </c>
      <c r="G32" s="6">
        <f t="shared" si="2"/>
        <v>1000</v>
      </c>
      <c r="J32" s="6"/>
    </row>
    <row r="33" spans="2:10" x14ac:dyDescent="0.25">
      <c r="B33" s="41" t="s">
        <v>90</v>
      </c>
      <c r="C33" s="43">
        <f>SUM(C19:C32)</f>
        <v>17031</v>
      </c>
      <c r="D33" s="43">
        <f t="shared" ref="D33:G33" si="4">SUM(D19:D32)</f>
        <v>0</v>
      </c>
      <c r="E33" s="43">
        <f t="shared" si="4"/>
        <v>9772.17</v>
      </c>
      <c r="F33" s="43">
        <f t="shared" si="4"/>
        <v>0</v>
      </c>
      <c r="G33" s="43">
        <f t="shared" si="4"/>
        <v>7258.83</v>
      </c>
    </row>
    <row r="34" spans="2:10" s="38" customFormat="1" x14ac:dyDescent="0.25">
      <c r="E34" s="43"/>
      <c r="G34" s="47"/>
    </row>
    <row r="35" spans="2:10" s="39" customFormat="1" x14ac:dyDescent="0.25">
      <c r="B35" s="39" t="s">
        <v>33</v>
      </c>
      <c r="C35" s="47">
        <f>SUM(C18+C33)</f>
        <v>27000</v>
      </c>
      <c r="D35" s="47"/>
      <c r="E35" s="47">
        <f t="shared" ref="E35:G35" si="5">SUM(E18+E33)</f>
        <v>18556.129999999997</v>
      </c>
      <c r="F35" s="47"/>
      <c r="G35" s="47">
        <f t="shared" si="5"/>
        <v>8443.8700000000008</v>
      </c>
      <c r="J35" s="47">
        <f>E35+'Expenditure Other'!E12+'Expenditure Other'!E15+'Expenditure Other'!E23</f>
        <v>23363.779999999995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5DC4D-EF42-473C-9789-3C484B69697C}">
  <dimension ref="A1:J124"/>
  <sheetViews>
    <sheetView tabSelected="1" workbookViewId="0">
      <selection activeCell="L12" sqref="L12"/>
    </sheetView>
  </sheetViews>
  <sheetFormatPr defaultRowHeight="15" x14ac:dyDescent="0.25"/>
  <cols>
    <col min="1" max="1" width="15.5703125" style="13" customWidth="1"/>
    <col min="2" max="2" width="27" customWidth="1"/>
    <col min="3" max="3" width="10.7109375" bestFit="1" customWidth="1"/>
    <col min="6" max="6" width="14.7109375" style="6" customWidth="1"/>
    <col min="10" max="11" width="10.140625" bestFit="1" customWidth="1"/>
  </cols>
  <sheetData>
    <row r="1" spans="1:10" ht="21" x14ac:dyDescent="0.35">
      <c r="A1" s="82" t="s">
        <v>0</v>
      </c>
      <c r="B1" s="1"/>
      <c r="C1" s="1"/>
      <c r="D1" s="1"/>
      <c r="E1" s="1"/>
    </row>
    <row r="3" spans="1:10" x14ac:dyDescent="0.25">
      <c r="C3" s="44" t="s">
        <v>245</v>
      </c>
    </row>
    <row r="5" spans="1:10" s="52" customFormat="1" x14ac:dyDescent="0.25">
      <c r="A5" s="89" t="s">
        <v>152</v>
      </c>
      <c r="F5" s="59">
        <v>59217.19</v>
      </c>
      <c r="H5" s="122"/>
    </row>
    <row r="6" spans="1:10" x14ac:dyDescent="0.25">
      <c r="E6" s="10"/>
      <c r="F6" s="11"/>
      <c r="G6" s="10"/>
      <c r="H6" s="10"/>
      <c r="I6" s="10"/>
      <c r="J6" s="10"/>
    </row>
    <row r="7" spans="1:10" s="38" customFormat="1" x14ac:dyDescent="0.25">
      <c r="A7" s="90" t="s">
        <v>45</v>
      </c>
      <c r="E7" s="57"/>
      <c r="F7" s="58"/>
      <c r="G7" s="57"/>
      <c r="H7" s="57"/>
      <c r="I7" s="57"/>
      <c r="J7" s="57"/>
    </row>
    <row r="8" spans="1:10" s="7" customFormat="1" x14ac:dyDescent="0.25">
      <c r="A8" s="34" t="s">
        <v>131</v>
      </c>
      <c r="B8" s="7" t="s">
        <v>105</v>
      </c>
      <c r="F8" s="36" t="s">
        <v>106</v>
      </c>
      <c r="G8" s="35"/>
      <c r="H8" s="35"/>
      <c r="I8" s="35"/>
      <c r="J8" s="35"/>
    </row>
    <row r="9" spans="1:10" s="37" customFormat="1" x14ac:dyDescent="0.25">
      <c r="A9" s="97">
        <v>44314</v>
      </c>
      <c r="B9" s="37" t="s">
        <v>162</v>
      </c>
      <c r="F9" s="142">
        <v>282</v>
      </c>
      <c r="G9" s="98"/>
      <c r="H9" s="98"/>
      <c r="I9" s="98"/>
      <c r="J9" s="98"/>
    </row>
    <row r="10" spans="1:10" s="37" customFormat="1" x14ac:dyDescent="0.25">
      <c r="A10" s="97">
        <v>44314</v>
      </c>
      <c r="B10" s="37" t="s">
        <v>163</v>
      </c>
      <c r="F10" s="142">
        <v>20.100000000000001</v>
      </c>
      <c r="G10" s="98"/>
      <c r="H10" s="98"/>
      <c r="I10" s="98"/>
      <c r="J10" s="98"/>
    </row>
    <row r="11" spans="1:10" s="37" customFormat="1" x14ac:dyDescent="0.25">
      <c r="A11" s="97">
        <v>44314</v>
      </c>
      <c r="B11" s="37" t="s">
        <v>164</v>
      </c>
      <c r="F11" s="27">
        <v>33.6</v>
      </c>
      <c r="G11" s="98"/>
      <c r="H11" s="98"/>
      <c r="I11" s="98"/>
      <c r="J11" s="98"/>
    </row>
    <row r="12" spans="1:10" s="37" customFormat="1" x14ac:dyDescent="0.25">
      <c r="A12" s="97">
        <v>44314</v>
      </c>
      <c r="B12" s="37" t="s">
        <v>165</v>
      </c>
      <c r="F12" s="27">
        <v>25.31</v>
      </c>
      <c r="G12" s="98"/>
      <c r="H12" s="98"/>
      <c r="I12" s="98"/>
      <c r="J12" s="98"/>
    </row>
    <row r="13" spans="1:10" s="37" customFormat="1" x14ac:dyDescent="0.25">
      <c r="A13" s="97">
        <v>44314</v>
      </c>
      <c r="B13" s="37" t="s">
        <v>166</v>
      </c>
      <c r="F13" s="27">
        <v>134.4</v>
      </c>
      <c r="G13" s="98"/>
      <c r="H13" s="98"/>
      <c r="I13" s="98"/>
      <c r="J13" s="98"/>
    </row>
    <row r="14" spans="1:10" s="37" customFormat="1" x14ac:dyDescent="0.25">
      <c r="A14" s="97">
        <v>44314</v>
      </c>
      <c r="B14" s="37" t="s">
        <v>167</v>
      </c>
      <c r="F14" s="27">
        <v>586.07000000000005</v>
      </c>
      <c r="G14" s="98"/>
      <c r="H14" s="98"/>
      <c r="I14" s="98"/>
      <c r="J14" s="98"/>
    </row>
    <row r="15" spans="1:10" s="37" customFormat="1" x14ac:dyDescent="0.25">
      <c r="A15" s="97">
        <v>44314</v>
      </c>
      <c r="B15" s="37" t="s">
        <v>168</v>
      </c>
      <c r="F15" s="27">
        <v>884.99</v>
      </c>
      <c r="G15" s="98"/>
      <c r="H15" s="98"/>
      <c r="I15" s="98"/>
      <c r="J15" s="98"/>
    </row>
    <row r="16" spans="1:10" s="37" customFormat="1" x14ac:dyDescent="0.25">
      <c r="A16" s="97">
        <v>44314</v>
      </c>
      <c r="B16" s="37" t="s">
        <v>161</v>
      </c>
      <c r="F16" s="27">
        <v>162</v>
      </c>
      <c r="G16" s="98"/>
      <c r="H16" s="98"/>
      <c r="I16" s="98"/>
      <c r="J16" s="98"/>
    </row>
    <row r="17" spans="1:10" s="37" customFormat="1" x14ac:dyDescent="0.25">
      <c r="A17" s="97">
        <v>44314</v>
      </c>
      <c r="B17" s="37" t="s">
        <v>169</v>
      </c>
      <c r="F17" s="27">
        <v>4.8</v>
      </c>
      <c r="G17" s="98"/>
      <c r="H17" s="98"/>
      <c r="I17" s="98"/>
      <c r="J17" s="98"/>
    </row>
    <row r="18" spans="1:10" s="37" customFormat="1" x14ac:dyDescent="0.25">
      <c r="A18" s="97">
        <v>44314</v>
      </c>
      <c r="B18" s="37" t="s">
        <v>163</v>
      </c>
      <c r="F18" s="27">
        <v>20.100000000000001</v>
      </c>
      <c r="G18" s="98"/>
      <c r="H18" s="98"/>
      <c r="I18" s="98"/>
      <c r="J18" s="98"/>
    </row>
    <row r="19" spans="1:10" s="37" customFormat="1" x14ac:dyDescent="0.25">
      <c r="A19" s="97">
        <v>44314</v>
      </c>
      <c r="B19" s="37" t="s">
        <v>170</v>
      </c>
      <c r="F19" s="27">
        <v>780</v>
      </c>
      <c r="G19" s="98"/>
      <c r="H19" s="98"/>
      <c r="I19" s="98"/>
      <c r="J19" s="98"/>
    </row>
    <row r="20" spans="1:10" s="37" customFormat="1" x14ac:dyDescent="0.25">
      <c r="A20" s="97">
        <v>44314</v>
      </c>
      <c r="B20" s="37" t="s">
        <v>171</v>
      </c>
      <c r="F20" s="27">
        <v>14.39</v>
      </c>
      <c r="G20" s="98"/>
      <c r="H20" s="98"/>
      <c r="I20" s="98"/>
      <c r="J20" s="98"/>
    </row>
    <row r="21" spans="1:10" s="37" customFormat="1" x14ac:dyDescent="0.25">
      <c r="A21" s="97">
        <v>44321</v>
      </c>
      <c r="B21" s="37" t="s">
        <v>114</v>
      </c>
      <c r="F21" s="142">
        <v>4.8</v>
      </c>
      <c r="G21" s="98"/>
      <c r="H21" s="98"/>
      <c r="I21" s="98"/>
      <c r="J21" s="98"/>
    </row>
    <row r="22" spans="1:10" s="37" customFormat="1" x14ac:dyDescent="0.25">
      <c r="A22" s="97">
        <v>44321</v>
      </c>
      <c r="B22" s="37" t="s">
        <v>167</v>
      </c>
      <c r="F22" s="142">
        <v>589.01</v>
      </c>
      <c r="G22" s="98"/>
      <c r="H22" s="98"/>
      <c r="I22" s="98"/>
      <c r="J22" s="98"/>
    </row>
    <row r="23" spans="1:10" s="37" customFormat="1" x14ac:dyDescent="0.25">
      <c r="A23" s="97">
        <v>44321</v>
      </c>
      <c r="B23" s="37" t="s">
        <v>166</v>
      </c>
      <c r="F23" s="142">
        <v>134.4</v>
      </c>
      <c r="G23" s="98"/>
      <c r="H23" s="98"/>
      <c r="I23" s="98"/>
      <c r="J23" s="98"/>
    </row>
    <row r="24" spans="1:10" s="37" customFormat="1" x14ac:dyDescent="0.25">
      <c r="A24" s="97">
        <v>44321</v>
      </c>
      <c r="B24" s="37" t="s">
        <v>188</v>
      </c>
      <c r="F24" s="142">
        <v>156</v>
      </c>
      <c r="G24" s="98"/>
      <c r="H24" s="98"/>
      <c r="I24" s="98"/>
      <c r="J24" s="98"/>
    </row>
    <row r="25" spans="1:10" s="37" customFormat="1" x14ac:dyDescent="0.25">
      <c r="A25" s="97">
        <v>44333</v>
      </c>
      <c r="B25" s="37" t="s">
        <v>167</v>
      </c>
      <c r="F25" s="142">
        <v>599.89</v>
      </c>
      <c r="G25" s="98"/>
      <c r="H25" s="98"/>
      <c r="I25" s="98"/>
      <c r="J25" s="98"/>
    </row>
    <row r="26" spans="1:10" s="37" customFormat="1" x14ac:dyDescent="0.25">
      <c r="A26" s="97">
        <v>44333</v>
      </c>
      <c r="B26" s="37" t="s">
        <v>166</v>
      </c>
      <c r="F26" s="142">
        <v>134.4</v>
      </c>
      <c r="G26" s="98"/>
      <c r="H26" s="98"/>
      <c r="I26" s="98"/>
      <c r="J26" s="98"/>
    </row>
    <row r="27" spans="1:10" s="37" customFormat="1" x14ac:dyDescent="0.25">
      <c r="A27" s="97">
        <v>44333</v>
      </c>
      <c r="B27" s="37" t="s">
        <v>192</v>
      </c>
      <c r="F27" s="142">
        <v>151.19999999999999</v>
      </c>
      <c r="G27" s="98"/>
      <c r="H27" s="98"/>
      <c r="I27" s="98"/>
      <c r="J27" s="98"/>
    </row>
    <row r="28" spans="1:10" s="37" customFormat="1" x14ac:dyDescent="0.25">
      <c r="A28" s="97">
        <v>44333</v>
      </c>
      <c r="B28" s="37" t="s">
        <v>189</v>
      </c>
      <c r="F28" s="142">
        <v>922.66</v>
      </c>
      <c r="G28" s="98"/>
      <c r="H28" s="98"/>
      <c r="I28" s="98"/>
      <c r="J28" s="98"/>
    </row>
    <row r="29" spans="1:10" s="37" customFormat="1" x14ac:dyDescent="0.25">
      <c r="A29" s="97">
        <v>44333</v>
      </c>
      <c r="B29" s="37" t="s">
        <v>189</v>
      </c>
      <c r="F29" s="142">
        <v>40.32</v>
      </c>
      <c r="G29" s="98"/>
      <c r="H29" s="98"/>
      <c r="I29" s="98"/>
      <c r="J29" s="98"/>
    </row>
    <row r="30" spans="1:10" s="37" customFormat="1" x14ac:dyDescent="0.25">
      <c r="A30" s="97">
        <v>44333</v>
      </c>
      <c r="B30" s="37" t="s">
        <v>190</v>
      </c>
      <c r="F30" s="142">
        <v>1096.3900000000001</v>
      </c>
      <c r="G30" s="98"/>
      <c r="H30" s="98"/>
      <c r="I30" s="98"/>
      <c r="J30" s="98"/>
    </row>
    <row r="31" spans="1:10" s="37" customFormat="1" x14ac:dyDescent="0.25">
      <c r="A31" s="97">
        <v>44333</v>
      </c>
      <c r="B31" s="37" t="s">
        <v>191</v>
      </c>
      <c r="F31" s="142">
        <v>1279.94</v>
      </c>
      <c r="G31" s="98"/>
      <c r="H31" s="98"/>
      <c r="I31" s="98"/>
      <c r="J31" s="98"/>
    </row>
    <row r="32" spans="1:10" s="37" customFormat="1" x14ac:dyDescent="0.25">
      <c r="A32" s="97">
        <v>44333</v>
      </c>
      <c r="B32" s="37" t="s">
        <v>193</v>
      </c>
      <c r="F32" s="142">
        <v>100</v>
      </c>
      <c r="G32" s="98"/>
      <c r="H32" s="98"/>
      <c r="I32" s="98"/>
      <c r="J32" s="98"/>
    </row>
    <row r="33" spans="1:10" s="37" customFormat="1" x14ac:dyDescent="0.25">
      <c r="A33" s="97">
        <v>44348</v>
      </c>
      <c r="B33" s="18" t="s">
        <v>199</v>
      </c>
      <c r="F33" s="142">
        <v>1315.22</v>
      </c>
      <c r="G33" s="98"/>
      <c r="H33" s="98"/>
      <c r="I33" s="98"/>
      <c r="J33" s="98"/>
    </row>
    <row r="34" spans="1:10" s="37" customFormat="1" x14ac:dyDescent="0.25">
      <c r="A34" s="97">
        <v>44351</v>
      </c>
      <c r="B34" s="146" t="s">
        <v>114</v>
      </c>
      <c r="F34" s="142">
        <v>4.8</v>
      </c>
      <c r="G34" s="98"/>
      <c r="H34" s="98"/>
      <c r="I34" s="98"/>
      <c r="J34" s="98"/>
    </row>
    <row r="35" spans="1:10" s="37" customFormat="1" x14ac:dyDescent="0.25">
      <c r="A35" s="97">
        <v>44351</v>
      </c>
      <c r="B35" s="18" t="s">
        <v>201</v>
      </c>
      <c r="F35" s="142">
        <v>188</v>
      </c>
      <c r="G35" s="98"/>
      <c r="H35" s="98"/>
      <c r="I35" s="98"/>
      <c r="J35" s="98"/>
    </row>
    <row r="36" spans="1:10" s="37" customFormat="1" x14ac:dyDescent="0.25">
      <c r="A36" s="97">
        <v>44351</v>
      </c>
      <c r="B36" s="18" t="s">
        <v>202</v>
      </c>
      <c r="F36" s="142">
        <v>25</v>
      </c>
      <c r="G36" s="98"/>
      <c r="H36" s="98"/>
      <c r="I36" s="98"/>
      <c r="J36" s="98"/>
    </row>
    <row r="37" spans="1:10" s="37" customFormat="1" x14ac:dyDescent="0.25">
      <c r="A37" s="97">
        <v>44368</v>
      </c>
      <c r="B37" s="18" t="s">
        <v>203</v>
      </c>
      <c r="F37" s="142">
        <v>21.6</v>
      </c>
      <c r="G37" s="98"/>
      <c r="H37" s="98"/>
      <c r="I37" s="98"/>
      <c r="J37" s="98"/>
    </row>
    <row r="38" spans="1:10" s="37" customFormat="1" x14ac:dyDescent="0.25">
      <c r="A38" s="147">
        <v>44390</v>
      </c>
      <c r="B38" s="97" t="s">
        <v>114</v>
      </c>
      <c r="C38" s="2"/>
      <c r="D38" s="21"/>
      <c r="E38" s="143"/>
      <c r="F38" s="142">
        <v>4.8</v>
      </c>
      <c r="G38" s="98"/>
      <c r="H38" s="98"/>
      <c r="I38" s="98"/>
      <c r="J38" s="98"/>
    </row>
    <row r="39" spans="1:10" s="37" customFormat="1" x14ac:dyDescent="0.25">
      <c r="A39" s="147">
        <v>44390</v>
      </c>
      <c r="B39" s="29" t="s">
        <v>156</v>
      </c>
      <c r="C39" s="30"/>
      <c r="D39" s="19"/>
      <c r="E39" s="26"/>
      <c r="F39" s="142">
        <v>1146</v>
      </c>
      <c r="G39" s="98"/>
      <c r="H39" s="98"/>
      <c r="I39" s="98"/>
      <c r="J39" s="98"/>
    </row>
    <row r="40" spans="1:10" s="37" customFormat="1" x14ac:dyDescent="0.25">
      <c r="A40" s="147">
        <v>44390</v>
      </c>
      <c r="B40" s="29" t="s">
        <v>89</v>
      </c>
      <c r="C40" s="30"/>
      <c r="D40" s="19"/>
      <c r="E40" s="26"/>
      <c r="F40" s="142">
        <v>120</v>
      </c>
      <c r="G40" s="98"/>
      <c r="H40" s="98"/>
      <c r="I40" s="98"/>
      <c r="J40" s="98"/>
    </row>
    <row r="41" spans="1:10" s="37" customFormat="1" x14ac:dyDescent="0.25">
      <c r="A41" s="28">
        <v>44400</v>
      </c>
      <c r="B41" s="29" t="s">
        <v>204</v>
      </c>
      <c r="C41" s="30"/>
      <c r="D41" s="19"/>
      <c r="E41" s="26"/>
      <c r="F41" s="142">
        <v>100</v>
      </c>
      <c r="G41" s="98"/>
      <c r="H41" s="98"/>
      <c r="I41" s="98"/>
      <c r="J41" s="98"/>
    </row>
    <row r="42" spans="1:10" s="37" customFormat="1" x14ac:dyDescent="0.25">
      <c r="A42" s="28">
        <v>44400</v>
      </c>
      <c r="B42" s="29" t="s">
        <v>205</v>
      </c>
      <c r="C42" s="30"/>
      <c r="D42" s="19"/>
      <c r="E42" s="26"/>
      <c r="F42" s="142">
        <v>100</v>
      </c>
      <c r="G42" s="98"/>
      <c r="H42" s="98"/>
      <c r="I42" s="98"/>
      <c r="J42" s="98"/>
    </row>
    <row r="43" spans="1:10" s="98" customFormat="1" x14ac:dyDescent="0.25">
      <c r="A43" s="150">
        <v>44400</v>
      </c>
      <c r="B43" s="9" t="s">
        <v>206</v>
      </c>
      <c r="C43" s="18"/>
      <c r="D43" s="151"/>
      <c r="E43" s="143"/>
      <c r="F43" s="142">
        <v>412.73</v>
      </c>
    </row>
    <row r="44" spans="1:10" s="98" customFormat="1" x14ac:dyDescent="0.25">
      <c r="A44" s="150">
        <v>44418</v>
      </c>
      <c r="B44" s="9" t="s">
        <v>221</v>
      </c>
      <c r="C44" s="18"/>
      <c r="D44" s="151"/>
      <c r="E44" s="143"/>
      <c r="F44" s="142">
        <v>45</v>
      </c>
    </row>
    <row r="45" spans="1:10" s="98" customFormat="1" x14ac:dyDescent="0.25">
      <c r="A45" s="150">
        <v>44418</v>
      </c>
      <c r="B45" s="9" t="s">
        <v>114</v>
      </c>
      <c r="C45" s="18"/>
      <c r="D45" s="151"/>
      <c r="E45" s="143"/>
      <c r="F45" s="142">
        <v>4.8</v>
      </c>
    </row>
    <row r="46" spans="1:10" s="98" customFormat="1" x14ac:dyDescent="0.25">
      <c r="A46" s="150">
        <v>44419</v>
      </c>
      <c r="B46" s="9" t="s">
        <v>222</v>
      </c>
      <c r="C46" s="18"/>
      <c r="D46" s="151"/>
      <c r="E46" s="143"/>
      <c r="F46" s="142">
        <v>1962</v>
      </c>
    </row>
    <row r="47" spans="1:10" s="98" customFormat="1" x14ac:dyDescent="0.25">
      <c r="A47" s="150">
        <v>44419</v>
      </c>
      <c r="B47" s="9" t="s">
        <v>223</v>
      </c>
      <c r="C47" s="18"/>
      <c r="D47" s="151"/>
      <c r="E47" s="143"/>
      <c r="F47" s="142">
        <v>190</v>
      </c>
    </row>
    <row r="48" spans="1:10" s="98" customFormat="1" x14ac:dyDescent="0.25">
      <c r="A48" s="150">
        <v>44428</v>
      </c>
      <c r="B48" s="9" t="s">
        <v>224</v>
      </c>
      <c r="C48" s="18"/>
      <c r="D48" s="151"/>
      <c r="E48" s="143"/>
      <c r="F48" s="142">
        <v>545</v>
      </c>
    </row>
    <row r="49" spans="1:6" s="98" customFormat="1" x14ac:dyDescent="0.25">
      <c r="A49" s="150">
        <v>44448</v>
      </c>
      <c r="B49" s="9" t="s">
        <v>229</v>
      </c>
      <c r="C49" s="18"/>
      <c r="D49" s="151"/>
      <c r="E49" s="143"/>
      <c r="F49" s="142">
        <v>19.2</v>
      </c>
    </row>
    <row r="50" spans="1:6" s="98" customFormat="1" x14ac:dyDescent="0.25">
      <c r="A50" s="150">
        <v>44453</v>
      </c>
      <c r="B50" s="9" t="s">
        <v>230</v>
      </c>
      <c r="C50" s="18"/>
      <c r="D50" s="151"/>
      <c r="E50" s="143"/>
      <c r="F50" s="142">
        <v>360</v>
      </c>
    </row>
    <row r="51" spans="1:6" s="98" customFormat="1" x14ac:dyDescent="0.25">
      <c r="A51" s="150">
        <v>44453</v>
      </c>
      <c r="B51" s="9" t="s">
        <v>231</v>
      </c>
      <c r="C51" s="18"/>
      <c r="D51" s="151"/>
      <c r="E51" s="143"/>
      <c r="F51" s="142">
        <v>1020</v>
      </c>
    </row>
    <row r="52" spans="1:6" s="98" customFormat="1" x14ac:dyDescent="0.25">
      <c r="A52" s="150">
        <v>44453</v>
      </c>
      <c r="B52" s="9" t="s">
        <v>114</v>
      </c>
      <c r="C52" s="18"/>
      <c r="D52" s="151"/>
      <c r="E52" s="143"/>
      <c r="F52" s="142">
        <v>4.8</v>
      </c>
    </row>
    <row r="53" spans="1:6" s="98" customFormat="1" x14ac:dyDescent="0.25">
      <c r="A53" s="150">
        <v>44453</v>
      </c>
      <c r="B53" s="9" t="s">
        <v>232</v>
      </c>
      <c r="C53" s="18"/>
      <c r="D53" s="151"/>
      <c r="E53" s="143"/>
      <c r="F53" s="142">
        <v>2201.9899999999998</v>
      </c>
    </row>
    <row r="54" spans="1:6" s="98" customFormat="1" x14ac:dyDescent="0.25">
      <c r="A54" s="150">
        <v>44454</v>
      </c>
      <c r="B54" s="9" t="s">
        <v>233</v>
      </c>
      <c r="C54" s="18"/>
      <c r="D54" s="151"/>
      <c r="E54" s="143"/>
      <c r="F54" s="142">
        <v>35</v>
      </c>
    </row>
    <row r="55" spans="1:6" s="98" customFormat="1" x14ac:dyDescent="0.25">
      <c r="A55" s="150">
        <v>44476</v>
      </c>
      <c r="B55" s="9" t="s">
        <v>238</v>
      </c>
      <c r="C55" s="18"/>
      <c r="D55" s="151"/>
      <c r="E55" s="143"/>
      <c r="F55" s="142">
        <v>19.2</v>
      </c>
    </row>
    <row r="56" spans="1:6" s="98" customFormat="1" x14ac:dyDescent="0.25">
      <c r="A56" s="150">
        <v>44481</v>
      </c>
      <c r="B56" s="9" t="s">
        <v>239</v>
      </c>
      <c r="C56" s="18"/>
      <c r="D56" s="151"/>
      <c r="E56" s="143"/>
      <c r="F56" s="142">
        <v>51.99</v>
      </c>
    </row>
    <row r="57" spans="1:6" s="98" customFormat="1" x14ac:dyDescent="0.25">
      <c r="A57" s="150">
        <v>44481</v>
      </c>
      <c r="B57" s="9" t="s">
        <v>240</v>
      </c>
      <c r="C57" s="18"/>
      <c r="D57" s="151"/>
      <c r="E57" s="143"/>
      <c r="F57" s="142">
        <v>64.8</v>
      </c>
    </row>
    <row r="58" spans="1:6" s="98" customFormat="1" x14ac:dyDescent="0.25">
      <c r="A58" s="150">
        <v>44481</v>
      </c>
      <c r="B58" s="9" t="s">
        <v>114</v>
      </c>
      <c r="C58" s="18"/>
      <c r="D58" s="151"/>
      <c r="E58" s="143"/>
      <c r="F58" s="142">
        <v>4.8</v>
      </c>
    </row>
    <row r="59" spans="1:6" s="98" customFormat="1" x14ac:dyDescent="0.25">
      <c r="A59" s="150">
        <v>44481</v>
      </c>
      <c r="B59" s="9" t="s">
        <v>231</v>
      </c>
      <c r="C59" s="18"/>
      <c r="D59" s="151"/>
      <c r="E59" s="143"/>
      <c r="F59" s="142">
        <v>312</v>
      </c>
    </row>
    <row r="60" spans="1:6" s="98" customFormat="1" x14ac:dyDescent="0.25">
      <c r="A60" s="150">
        <v>44481</v>
      </c>
      <c r="B60" s="9" t="s">
        <v>241</v>
      </c>
      <c r="C60" s="18"/>
      <c r="D60" s="151"/>
      <c r="E60" s="143"/>
      <c r="F60" s="142">
        <v>250</v>
      </c>
    </row>
    <row r="61" spans="1:6" s="98" customFormat="1" x14ac:dyDescent="0.25">
      <c r="A61" s="150">
        <v>44496</v>
      </c>
      <c r="B61" s="9" t="s">
        <v>242</v>
      </c>
      <c r="C61" s="18"/>
      <c r="D61" s="151"/>
      <c r="E61" s="143"/>
      <c r="F61" s="142">
        <v>100</v>
      </c>
    </row>
    <row r="62" spans="1:6" s="98" customFormat="1" x14ac:dyDescent="0.25">
      <c r="A62" s="150">
        <v>44497</v>
      </c>
      <c r="B62" s="9" t="s">
        <v>243</v>
      </c>
      <c r="C62" s="18"/>
      <c r="D62" s="151"/>
      <c r="E62" s="143"/>
      <c r="F62" s="142">
        <v>41.4</v>
      </c>
    </row>
    <row r="63" spans="1:6" s="98" customFormat="1" x14ac:dyDescent="0.25">
      <c r="A63" s="150">
        <v>44508</v>
      </c>
      <c r="B63" s="9" t="s">
        <v>238</v>
      </c>
      <c r="C63" s="18"/>
      <c r="D63" s="151"/>
      <c r="E63" s="143"/>
      <c r="F63" s="142">
        <v>19.2</v>
      </c>
    </row>
    <row r="64" spans="1:6" s="98" customFormat="1" x14ac:dyDescent="0.25">
      <c r="A64" s="150">
        <v>44509</v>
      </c>
      <c r="B64" s="9" t="s">
        <v>246</v>
      </c>
      <c r="C64" s="18"/>
      <c r="D64" s="151"/>
      <c r="E64" s="143"/>
      <c r="F64" s="142">
        <v>100</v>
      </c>
    </row>
    <row r="65" spans="1:10" s="98" customFormat="1" x14ac:dyDescent="0.25">
      <c r="A65" s="150">
        <v>44509</v>
      </c>
      <c r="B65" s="9" t="s">
        <v>174</v>
      </c>
      <c r="C65" s="18"/>
      <c r="D65" s="151"/>
      <c r="E65" s="143"/>
      <c r="F65" s="142">
        <v>1500</v>
      </c>
    </row>
    <row r="66" spans="1:10" s="98" customFormat="1" x14ac:dyDescent="0.25">
      <c r="A66" s="150">
        <v>44509</v>
      </c>
      <c r="B66" s="9" t="s">
        <v>231</v>
      </c>
      <c r="C66" s="18"/>
      <c r="D66" s="151"/>
      <c r="E66" s="143"/>
      <c r="F66" s="142">
        <v>438</v>
      </c>
    </row>
    <row r="67" spans="1:10" s="98" customFormat="1" x14ac:dyDescent="0.25">
      <c r="A67" s="150">
        <v>44509</v>
      </c>
      <c r="B67" s="9" t="s">
        <v>203</v>
      </c>
      <c r="C67" s="18"/>
      <c r="D67" s="151"/>
      <c r="E67" s="143"/>
      <c r="F67" s="142">
        <v>43.2</v>
      </c>
    </row>
    <row r="68" spans="1:10" s="98" customFormat="1" x14ac:dyDescent="0.25">
      <c r="A68" s="150">
        <v>44509</v>
      </c>
      <c r="B68" s="9" t="s">
        <v>114</v>
      </c>
      <c r="C68" s="18"/>
      <c r="D68" s="151"/>
      <c r="E68" s="143"/>
      <c r="F68" s="142">
        <v>4.8</v>
      </c>
    </row>
    <row r="69" spans="1:10" s="98" customFormat="1" x14ac:dyDescent="0.25">
      <c r="A69" s="150">
        <v>44509</v>
      </c>
      <c r="B69" s="9" t="s">
        <v>160</v>
      </c>
      <c r="C69" s="18"/>
      <c r="D69" s="151"/>
      <c r="E69" s="143"/>
      <c r="F69" s="142">
        <v>990</v>
      </c>
    </row>
    <row r="70" spans="1:10" s="98" customFormat="1" x14ac:dyDescent="0.25">
      <c r="A70" s="150">
        <v>44509</v>
      </c>
      <c r="B70" s="9" t="s">
        <v>247</v>
      </c>
      <c r="C70" s="18"/>
      <c r="D70" s="151"/>
      <c r="E70" s="143"/>
      <c r="F70" s="142">
        <v>26.46</v>
      </c>
    </row>
    <row r="71" spans="1:10" s="98" customFormat="1" x14ac:dyDescent="0.25">
      <c r="A71" s="150">
        <v>44509</v>
      </c>
      <c r="B71" s="9" t="s">
        <v>248</v>
      </c>
      <c r="C71" s="18"/>
      <c r="D71" s="151"/>
      <c r="E71" s="143"/>
      <c r="F71" s="142">
        <v>100</v>
      </c>
    </row>
    <row r="72" spans="1:10" s="98" customFormat="1" x14ac:dyDescent="0.25">
      <c r="A72" s="150">
        <v>44530</v>
      </c>
      <c r="B72" s="9" t="s">
        <v>132</v>
      </c>
      <c r="C72" s="18"/>
      <c r="D72" s="151"/>
      <c r="E72" s="143"/>
      <c r="F72" s="142">
        <v>1315.22</v>
      </c>
    </row>
    <row r="73" spans="1:10" s="37" customFormat="1" x14ac:dyDescent="0.25">
      <c r="A73" s="150"/>
      <c r="F73" s="27"/>
      <c r="G73" s="98"/>
      <c r="H73" s="98"/>
      <c r="I73" s="98"/>
      <c r="J73" s="98"/>
    </row>
    <row r="74" spans="1:10" s="7" customFormat="1" x14ac:dyDescent="0.25">
      <c r="A74" s="34"/>
      <c r="C74" s="76" t="s">
        <v>137</v>
      </c>
      <c r="D74" s="65"/>
      <c r="E74" s="65"/>
      <c r="F74" s="36">
        <f>SUM(F9:F73)</f>
        <v>23363.780000000002</v>
      </c>
      <c r="G74" s="35"/>
      <c r="H74" s="35"/>
      <c r="I74" s="35"/>
      <c r="J74" s="35"/>
    </row>
    <row r="75" spans="1:10" x14ac:dyDescent="0.25">
      <c r="C75" t="s">
        <v>138</v>
      </c>
      <c r="G75" s="10"/>
      <c r="H75" s="10"/>
      <c r="I75" s="10"/>
      <c r="J75" s="10"/>
    </row>
    <row r="76" spans="1:10" s="38" customFormat="1" x14ac:dyDescent="0.25">
      <c r="A76" s="90" t="s">
        <v>46</v>
      </c>
      <c r="E76" s="57"/>
      <c r="F76" s="58"/>
      <c r="G76" s="57"/>
      <c r="H76" s="57"/>
      <c r="I76" s="57"/>
      <c r="J76" s="57"/>
    </row>
    <row r="77" spans="1:10" s="7" customFormat="1" x14ac:dyDescent="0.25">
      <c r="A77" s="34" t="s">
        <v>54</v>
      </c>
      <c r="B77" s="7" t="s">
        <v>105</v>
      </c>
      <c r="E77" s="35"/>
      <c r="F77" s="36" t="s">
        <v>107</v>
      </c>
      <c r="G77" s="32"/>
      <c r="H77" s="32"/>
      <c r="I77" s="32"/>
      <c r="J77" s="32"/>
    </row>
    <row r="78" spans="1:10" s="37" customFormat="1" x14ac:dyDescent="0.25">
      <c r="A78" s="97">
        <v>44294</v>
      </c>
      <c r="B78" s="37" t="s">
        <v>172</v>
      </c>
      <c r="E78" s="98"/>
      <c r="F78" s="27">
        <v>74.959999999999994</v>
      </c>
      <c r="G78" s="99"/>
      <c r="H78" s="99"/>
      <c r="I78" s="99"/>
      <c r="J78" s="99"/>
    </row>
    <row r="79" spans="1:10" s="37" customFormat="1" x14ac:dyDescent="0.25">
      <c r="A79" s="97">
        <v>44294</v>
      </c>
      <c r="B79" s="37" t="s">
        <v>173</v>
      </c>
      <c r="E79" s="98"/>
      <c r="F79" s="27">
        <v>13500</v>
      </c>
      <c r="G79" s="99"/>
      <c r="H79" s="99"/>
      <c r="I79" s="99"/>
      <c r="J79" s="99"/>
    </row>
    <row r="80" spans="1:10" s="37" customFormat="1" x14ac:dyDescent="0.25">
      <c r="A80" s="97">
        <v>44323</v>
      </c>
      <c r="B80" s="37" t="s">
        <v>194</v>
      </c>
      <c r="E80" s="98"/>
      <c r="F80" s="27">
        <v>1280</v>
      </c>
      <c r="G80" s="99"/>
      <c r="H80" s="99"/>
      <c r="I80" s="99"/>
      <c r="J80" s="99"/>
    </row>
    <row r="81" spans="1:10" s="37" customFormat="1" x14ac:dyDescent="0.25">
      <c r="A81" s="97">
        <v>44326</v>
      </c>
      <c r="B81" s="37" t="s">
        <v>172</v>
      </c>
      <c r="E81" s="98"/>
      <c r="F81" s="27">
        <v>74.959999999999994</v>
      </c>
      <c r="G81" s="99"/>
      <c r="H81" s="99"/>
      <c r="I81" s="99"/>
      <c r="J81" s="99"/>
    </row>
    <row r="82" spans="1:10" s="37" customFormat="1" x14ac:dyDescent="0.25">
      <c r="A82" s="97">
        <v>44327</v>
      </c>
      <c r="B82" s="37" t="s">
        <v>195</v>
      </c>
      <c r="E82" s="98"/>
      <c r="F82" s="27">
        <v>200</v>
      </c>
      <c r="G82" s="99"/>
      <c r="H82" s="99"/>
      <c r="I82" s="99"/>
      <c r="J82" s="99"/>
    </row>
    <row r="83" spans="1:10" s="37" customFormat="1" x14ac:dyDescent="0.25">
      <c r="A83" s="97">
        <v>44354</v>
      </c>
      <c r="B83" s="37" t="s">
        <v>172</v>
      </c>
      <c r="E83" s="98"/>
      <c r="F83" s="27">
        <v>74.959999999999994</v>
      </c>
      <c r="G83" s="99"/>
      <c r="H83" s="99"/>
      <c r="I83" s="99"/>
      <c r="J83" s="99"/>
    </row>
    <row r="84" spans="1:10" s="37" customFormat="1" x14ac:dyDescent="0.25">
      <c r="A84" s="13">
        <v>44385</v>
      </c>
      <c r="B84" s="37" t="s">
        <v>174</v>
      </c>
      <c r="E84" s="98"/>
      <c r="F84" s="27">
        <v>74.959999999999994</v>
      </c>
      <c r="G84" s="99"/>
      <c r="H84" s="99"/>
      <c r="I84" s="99"/>
      <c r="J84" s="99"/>
    </row>
    <row r="85" spans="1:10" s="37" customFormat="1" x14ac:dyDescent="0.25">
      <c r="A85" s="97">
        <v>44447</v>
      </c>
      <c r="B85" s="37" t="s">
        <v>173</v>
      </c>
      <c r="E85" s="98"/>
      <c r="F85" s="27">
        <v>13500</v>
      </c>
      <c r="G85" s="99"/>
      <c r="H85" s="99"/>
      <c r="I85" s="99"/>
      <c r="J85" s="99"/>
    </row>
    <row r="86" spans="1:10" s="37" customFormat="1" x14ac:dyDescent="0.25">
      <c r="A86" s="97">
        <v>44453</v>
      </c>
      <c r="B86" s="37" t="s">
        <v>227</v>
      </c>
      <c r="E86" s="98"/>
      <c r="F86" s="159">
        <v>5</v>
      </c>
      <c r="G86" s="99"/>
      <c r="H86" s="99"/>
      <c r="I86" s="99"/>
      <c r="J86" s="99"/>
    </row>
    <row r="87" spans="1:10" s="37" customFormat="1" x14ac:dyDescent="0.25">
      <c r="A87" s="97">
        <v>44456</v>
      </c>
      <c r="B87" s="37" t="s">
        <v>228</v>
      </c>
      <c r="E87" s="98"/>
      <c r="F87" s="159">
        <v>5</v>
      </c>
      <c r="G87" s="99"/>
      <c r="H87" s="99"/>
      <c r="I87" s="99"/>
      <c r="J87" s="99"/>
    </row>
    <row r="88" spans="1:10" s="37" customFormat="1" x14ac:dyDescent="0.25">
      <c r="A88" s="97">
        <v>44470</v>
      </c>
      <c r="B88" s="37" t="s">
        <v>236</v>
      </c>
      <c r="E88" s="98"/>
      <c r="F88" s="159">
        <v>100</v>
      </c>
      <c r="G88" s="99"/>
      <c r="H88" s="99"/>
      <c r="I88" s="99"/>
      <c r="J88" s="99"/>
    </row>
    <row r="89" spans="1:10" s="37" customFormat="1" x14ac:dyDescent="0.25">
      <c r="A89" s="97">
        <v>44481</v>
      </c>
      <c r="B89" s="37" t="s">
        <v>237</v>
      </c>
      <c r="E89" s="98"/>
      <c r="F89" s="159">
        <v>100</v>
      </c>
      <c r="G89" s="99"/>
      <c r="H89" s="99"/>
      <c r="I89" s="99"/>
      <c r="J89" s="99"/>
    </row>
    <row r="90" spans="1:10" s="37" customFormat="1" x14ac:dyDescent="0.25">
      <c r="A90" s="97">
        <v>44501</v>
      </c>
      <c r="B90" s="37" t="s">
        <v>249</v>
      </c>
      <c r="E90" s="98"/>
      <c r="F90" s="159">
        <v>101.64</v>
      </c>
      <c r="G90" s="99"/>
      <c r="H90" s="99"/>
      <c r="I90" s="99"/>
      <c r="J90" s="99"/>
    </row>
    <row r="91" spans="1:10" s="37" customFormat="1" x14ac:dyDescent="0.25">
      <c r="A91" s="97">
        <v>44523</v>
      </c>
      <c r="B91" s="9" t="s">
        <v>250</v>
      </c>
      <c r="E91" s="98"/>
      <c r="F91" s="159">
        <v>399</v>
      </c>
      <c r="G91" s="99"/>
      <c r="H91" s="99"/>
      <c r="I91" s="99"/>
      <c r="J91" s="99"/>
    </row>
    <row r="92" spans="1:10" s="37" customFormat="1" x14ac:dyDescent="0.25">
      <c r="A92" s="97">
        <v>44529</v>
      </c>
      <c r="B92" s="37" t="s">
        <v>249</v>
      </c>
      <c r="E92" s="98"/>
      <c r="F92" s="159">
        <v>101.64</v>
      </c>
      <c r="G92" s="99"/>
      <c r="H92" s="99"/>
      <c r="I92" s="99"/>
      <c r="J92" s="99"/>
    </row>
    <row r="93" spans="1:10" s="37" customFormat="1" x14ac:dyDescent="0.25">
      <c r="A93" s="97"/>
      <c r="E93" s="98"/>
      <c r="F93" s="27"/>
      <c r="G93" s="99"/>
      <c r="H93" s="99"/>
      <c r="I93" s="99"/>
      <c r="J93" s="99"/>
    </row>
    <row r="94" spans="1:10" s="37" customFormat="1" x14ac:dyDescent="0.25">
      <c r="A94" s="97"/>
      <c r="E94" s="98"/>
      <c r="F94" s="27"/>
      <c r="G94" s="99"/>
      <c r="H94" s="99"/>
      <c r="I94" s="99"/>
      <c r="J94" s="99"/>
    </row>
    <row r="95" spans="1:10" s="37" customFormat="1" x14ac:dyDescent="0.25">
      <c r="A95" s="97"/>
      <c r="C95" s="37" t="s">
        <v>47</v>
      </c>
      <c r="F95" s="27">
        <f>SUM(F78:F93)</f>
        <v>29592.119999999995</v>
      </c>
      <c r="G95" s="126"/>
      <c r="H95" s="126"/>
      <c r="I95" s="126"/>
      <c r="J95" s="126"/>
    </row>
    <row r="96" spans="1:10" s="7" customFormat="1" x14ac:dyDescent="0.25">
      <c r="A96" s="34"/>
      <c r="C96" s="7" t="s">
        <v>139</v>
      </c>
      <c r="F96" s="36">
        <f>SUM(F78:F94)</f>
        <v>29592.119999999995</v>
      </c>
      <c r="G96" s="67"/>
      <c r="I96" s="67"/>
      <c r="J96" s="67"/>
    </row>
    <row r="97" spans="1:10" x14ac:dyDescent="0.25">
      <c r="B97" s="13"/>
      <c r="D97" s="14"/>
      <c r="E97" s="15"/>
      <c r="F97" s="16"/>
      <c r="G97" s="5"/>
      <c r="I97" s="5"/>
      <c r="J97" s="5"/>
    </row>
    <row r="98" spans="1:10" x14ac:dyDescent="0.25">
      <c r="A98" s="3"/>
      <c r="G98" s="15"/>
      <c r="H98" s="17"/>
      <c r="I98" s="17"/>
      <c r="J98" s="17"/>
    </row>
    <row r="99" spans="1:10" x14ac:dyDescent="0.25">
      <c r="A99" s="3"/>
      <c r="G99" s="15"/>
      <c r="H99" s="18"/>
      <c r="J99" s="17"/>
    </row>
    <row r="100" spans="1:10" s="39" customFormat="1" x14ac:dyDescent="0.25">
      <c r="A100" s="91" t="s">
        <v>251</v>
      </c>
      <c r="B100" s="60"/>
      <c r="C100" s="60"/>
      <c r="D100" s="60"/>
      <c r="E100" s="60"/>
      <c r="F100" s="61">
        <f>SUM(F5-F74+F96)</f>
        <v>65445.53</v>
      </c>
      <c r="G100" s="62"/>
      <c r="H100" s="63"/>
      <c r="J100" s="64"/>
    </row>
    <row r="101" spans="1:10" x14ac:dyDescent="0.25">
      <c r="A101" s="92"/>
      <c r="B101" s="2"/>
      <c r="C101" s="2"/>
      <c r="D101" s="2"/>
      <c r="H101" s="10"/>
      <c r="I101" s="10"/>
      <c r="J101" s="10"/>
    </row>
    <row r="102" spans="1:10" s="38" customFormat="1" x14ac:dyDescent="0.25">
      <c r="A102" s="90"/>
      <c r="C102" s="171"/>
      <c r="F102" s="43"/>
      <c r="H102" s="57"/>
      <c r="I102" s="57"/>
      <c r="J102" s="57"/>
    </row>
    <row r="103" spans="1:10" x14ac:dyDescent="0.25">
      <c r="B103" s="19"/>
      <c r="H103" s="10"/>
      <c r="I103" s="10"/>
      <c r="J103" s="10"/>
    </row>
    <row r="104" spans="1:10" x14ac:dyDescent="0.25">
      <c r="H104" s="12"/>
      <c r="I104" s="10"/>
      <c r="J104" s="10"/>
    </row>
    <row r="105" spans="1:10" s="7" customFormat="1" x14ac:dyDescent="0.25">
      <c r="A105" s="34"/>
      <c r="C105" s="36"/>
      <c r="E105" s="7" t="s">
        <v>48</v>
      </c>
      <c r="F105" s="36">
        <f>SUM(F103:F104)</f>
        <v>0</v>
      </c>
      <c r="H105" s="66"/>
      <c r="I105" s="35"/>
      <c r="J105" s="35"/>
    </row>
    <row r="106" spans="1:10" s="68" customFormat="1" x14ac:dyDescent="0.25">
      <c r="A106" s="93"/>
      <c r="C106" s="69"/>
      <c r="E106" s="68" t="s">
        <v>49</v>
      </c>
      <c r="F106" s="69">
        <f>SUM(F100-F105)</f>
        <v>65445.53</v>
      </c>
      <c r="H106" s="70"/>
      <c r="I106" s="71"/>
      <c r="J106" s="71"/>
    </row>
    <row r="107" spans="1:10" s="38" customFormat="1" x14ac:dyDescent="0.25">
      <c r="A107" s="94" t="s">
        <v>50</v>
      </c>
      <c r="F107" s="43"/>
      <c r="H107" s="57"/>
    </row>
    <row r="108" spans="1:10" x14ac:dyDescent="0.25">
      <c r="H108" s="10"/>
    </row>
    <row r="109" spans="1:10" x14ac:dyDescent="0.25">
      <c r="A109" s="3" t="s">
        <v>244</v>
      </c>
      <c r="B109" s="2"/>
      <c r="C109" s="2"/>
      <c r="D109" s="2"/>
      <c r="E109" s="20"/>
      <c r="F109" s="9">
        <f>SUM(F5)</f>
        <v>59217.19</v>
      </c>
      <c r="H109" s="10"/>
    </row>
    <row r="110" spans="1:10" x14ac:dyDescent="0.25">
      <c r="A110" s="3" t="s">
        <v>51</v>
      </c>
      <c r="B110" s="2"/>
      <c r="C110" s="2"/>
      <c r="D110" s="2"/>
      <c r="E110" s="2"/>
      <c r="F110" s="6">
        <f>SUM(F96)</f>
        <v>29592.119999999995</v>
      </c>
    </row>
    <row r="111" spans="1:10" x14ac:dyDescent="0.25">
      <c r="A111" s="3" t="s">
        <v>52</v>
      </c>
      <c r="B111" s="2"/>
      <c r="C111" s="2"/>
      <c r="D111" s="2"/>
      <c r="E111" s="2"/>
      <c r="F111" s="27">
        <f>SUM(F74)</f>
        <v>23363.780000000002</v>
      </c>
      <c r="H111" s="4"/>
    </row>
    <row r="112" spans="1:10" x14ac:dyDescent="0.25">
      <c r="A112" s="3"/>
      <c r="B112" s="2"/>
      <c r="C112" s="2"/>
      <c r="D112" s="2"/>
      <c r="E112" s="2"/>
      <c r="F112" s="8"/>
    </row>
    <row r="113" spans="1:6" s="51" customFormat="1" x14ac:dyDescent="0.25">
      <c r="A113" s="74" t="s">
        <v>252</v>
      </c>
      <c r="B113" s="73"/>
      <c r="C113" s="74"/>
      <c r="F113" s="75">
        <f>SUM(F109+F110-F111)</f>
        <v>65445.53</v>
      </c>
    </row>
    <row r="115" spans="1:6" s="48" customFormat="1" x14ac:dyDescent="0.25">
      <c r="A115" s="95"/>
      <c r="B115" s="88"/>
      <c r="C115" s="49"/>
      <c r="D115" s="49"/>
      <c r="F115" s="81"/>
    </row>
    <row r="116" spans="1:6" x14ac:dyDescent="0.25">
      <c r="A116" s="96"/>
      <c r="B116" s="10"/>
    </row>
    <row r="117" spans="1:6" s="37" customFormat="1" x14ac:dyDescent="0.25">
      <c r="A117" s="13"/>
      <c r="B117" s="111"/>
      <c r="C117"/>
      <c r="F117" s="27"/>
    </row>
    <row r="118" spans="1:6" x14ac:dyDescent="0.25">
      <c r="B118" s="6"/>
    </row>
    <row r="119" spans="1:6" x14ac:dyDescent="0.25">
      <c r="B119" s="6"/>
    </row>
    <row r="120" spans="1:6" x14ac:dyDescent="0.25">
      <c r="B120" s="6"/>
    </row>
    <row r="121" spans="1:6" x14ac:dyDescent="0.25">
      <c r="B121" s="6"/>
    </row>
    <row r="122" spans="1:6" x14ac:dyDescent="0.25">
      <c r="B122" s="6"/>
    </row>
    <row r="123" spans="1:6" x14ac:dyDescent="0.25">
      <c r="A123" s="131"/>
      <c r="B123" s="6"/>
    </row>
    <row r="124" spans="1:6" x14ac:dyDescent="0.25">
      <c r="B124" s="6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10758-7B84-4624-9CE4-0D4D9E7102B5}">
  <dimension ref="A3:Q40"/>
  <sheetViews>
    <sheetView topLeftCell="A7" workbookViewId="0">
      <selection activeCell="F27" sqref="F27"/>
    </sheetView>
  </sheetViews>
  <sheetFormatPr defaultRowHeight="15" x14ac:dyDescent="0.25"/>
  <cols>
    <col min="1" max="1" width="13.5703125" customWidth="1"/>
    <col min="2" max="2" width="27.42578125" bestFit="1" customWidth="1"/>
    <col min="4" max="7" width="10.140625" style="6" bestFit="1" customWidth="1"/>
    <col min="8" max="10" width="9.28515625" style="6" bestFit="1" customWidth="1"/>
    <col min="11" max="11" width="10.85546875" style="6" customWidth="1"/>
    <col min="12" max="12" width="13.5703125" style="6" customWidth="1"/>
    <col min="13" max="14" width="9.28515625" style="6" bestFit="1" customWidth="1"/>
    <col min="15" max="16" width="15" style="6" customWidth="1"/>
    <col min="17" max="17" width="13.28515625" style="6" customWidth="1"/>
  </cols>
  <sheetData>
    <row r="3" spans="1:17" s="49" customFormat="1" ht="21" x14ac:dyDescent="0.35">
      <c r="A3" s="55" t="s">
        <v>53</v>
      </c>
      <c r="B3" s="55"/>
      <c r="C3" s="55"/>
      <c r="D3" s="83"/>
      <c r="E3" s="83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5" spans="1:17" s="7" customFormat="1" x14ac:dyDescent="0.25">
      <c r="A5" s="7" t="s">
        <v>234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7" spans="1:17" s="72" customFormat="1" ht="45" x14ac:dyDescent="0.25">
      <c r="A7" s="87" t="s">
        <v>54</v>
      </c>
      <c r="B7" s="87" t="s">
        <v>55</v>
      </c>
      <c r="C7" s="87" t="s">
        <v>56</v>
      </c>
      <c r="D7" s="101" t="s">
        <v>16</v>
      </c>
      <c r="E7" s="101" t="s">
        <v>57</v>
      </c>
      <c r="F7" s="101" t="s">
        <v>148</v>
      </c>
      <c r="G7" s="101" t="s">
        <v>87</v>
      </c>
      <c r="H7" s="101" t="s">
        <v>58</v>
      </c>
      <c r="I7" s="101" t="s">
        <v>59</v>
      </c>
      <c r="J7" s="101" t="s">
        <v>60</v>
      </c>
      <c r="K7" s="101" t="s">
        <v>61</v>
      </c>
      <c r="L7" s="101" t="s">
        <v>62</v>
      </c>
      <c r="M7" s="101" t="s">
        <v>63</v>
      </c>
      <c r="N7" s="101" t="s">
        <v>64</v>
      </c>
      <c r="O7" s="101" t="s">
        <v>65</v>
      </c>
      <c r="P7" s="101" t="s">
        <v>207</v>
      </c>
      <c r="Q7" s="101" t="s">
        <v>66</v>
      </c>
    </row>
    <row r="8" spans="1:17" x14ac:dyDescent="0.25">
      <c r="A8" s="97">
        <v>44294</v>
      </c>
      <c r="B8" s="37" t="s">
        <v>174</v>
      </c>
      <c r="C8" t="s">
        <v>175</v>
      </c>
      <c r="D8" s="129">
        <f t="shared" ref="D8:D35" si="0">SUM(E8:Q8)</f>
        <v>74.959999999999994</v>
      </c>
      <c r="L8" s="6">
        <v>74.959999999999994</v>
      </c>
      <c r="Q8" s="128"/>
    </row>
    <row r="9" spans="1:17" x14ac:dyDescent="0.25">
      <c r="A9" s="97">
        <v>44294</v>
      </c>
      <c r="B9" s="37" t="s">
        <v>173</v>
      </c>
      <c r="C9" s="122" t="s">
        <v>175</v>
      </c>
      <c r="D9" s="129">
        <f t="shared" si="0"/>
        <v>13500</v>
      </c>
      <c r="E9" s="6">
        <v>13500</v>
      </c>
      <c r="Q9" s="128"/>
    </row>
    <row r="10" spans="1:17" x14ac:dyDescent="0.25">
      <c r="A10" s="97">
        <v>44323</v>
      </c>
      <c r="B10" s="37" t="s">
        <v>194</v>
      </c>
      <c r="C10" s="122" t="s">
        <v>175</v>
      </c>
      <c r="D10" s="129">
        <f t="shared" si="0"/>
        <v>1280</v>
      </c>
      <c r="F10" s="6">
        <v>1280</v>
      </c>
      <c r="Q10" s="128"/>
    </row>
    <row r="11" spans="1:17" x14ac:dyDescent="0.25">
      <c r="A11" s="97">
        <v>44326</v>
      </c>
      <c r="B11" s="37" t="s">
        <v>172</v>
      </c>
      <c r="C11" s="122" t="s">
        <v>175</v>
      </c>
      <c r="D11" s="129">
        <f t="shared" si="0"/>
        <v>74.959999999999994</v>
      </c>
      <c r="L11" s="6">
        <v>74.959999999999994</v>
      </c>
      <c r="Q11" s="128"/>
    </row>
    <row r="12" spans="1:17" x14ac:dyDescent="0.25">
      <c r="A12" s="97">
        <v>44327</v>
      </c>
      <c r="B12" s="37" t="s">
        <v>195</v>
      </c>
      <c r="C12" s="122" t="s">
        <v>175</v>
      </c>
      <c r="D12" s="129">
        <f t="shared" si="0"/>
        <v>200</v>
      </c>
      <c r="P12" s="6">
        <v>200</v>
      </c>
      <c r="Q12" s="128"/>
    </row>
    <row r="13" spans="1:17" s="122" customFormat="1" x14ac:dyDescent="0.25">
      <c r="A13" s="97">
        <v>44355</v>
      </c>
      <c r="B13" s="37" t="s">
        <v>174</v>
      </c>
      <c r="C13" s="122" t="s">
        <v>175</v>
      </c>
      <c r="D13" s="129">
        <f t="shared" si="0"/>
        <v>74.959999999999994</v>
      </c>
      <c r="E13" s="6"/>
      <c r="F13" s="6"/>
      <c r="G13" s="6"/>
      <c r="H13" s="6"/>
      <c r="I13" s="6"/>
      <c r="J13" s="6"/>
      <c r="K13" s="6"/>
      <c r="L13" s="6">
        <v>74.959999999999994</v>
      </c>
      <c r="M13" s="6"/>
      <c r="N13" s="6"/>
      <c r="O13" s="6"/>
      <c r="P13" s="6"/>
      <c r="Q13" s="141"/>
    </row>
    <row r="14" spans="1:17" x14ac:dyDescent="0.25">
      <c r="A14" s="13">
        <v>44385</v>
      </c>
      <c r="B14" s="37" t="s">
        <v>174</v>
      </c>
      <c r="C14" t="s">
        <v>175</v>
      </c>
      <c r="D14" s="129">
        <f>SUM(E14:Q14)</f>
        <v>74.959999999999994</v>
      </c>
      <c r="L14" s="6">
        <v>74.959999999999994</v>
      </c>
      <c r="Q14" s="128"/>
    </row>
    <row r="15" spans="1:17" x14ac:dyDescent="0.25">
      <c r="A15" s="97">
        <v>44447</v>
      </c>
      <c r="B15" s="37" t="s">
        <v>173</v>
      </c>
      <c r="C15" s="153" t="s">
        <v>175</v>
      </c>
      <c r="D15" s="129">
        <f t="shared" si="0"/>
        <v>13500</v>
      </c>
      <c r="E15" s="6">
        <v>13500</v>
      </c>
      <c r="Q15" s="128"/>
    </row>
    <row r="16" spans="1:17" x14ac:dyDescent="0.25">
      <c r="A16" s="97">
        <v>44453</v>
      </c>
      <c r="B16" s="37" t="s">
        <v>227</v>
      </c>
      <c r="C16" s="153" t="s">
        <v>175</v>
      </c>
      <c r="D16" s="129">
        <f t="shared" si="0"/>
        <v>5</v>
      </c>
      <c r="M16" s="6">
        <v>5</v>
      </c>
      <c r="Q16" s="128"/>
    </row>
    <row r="17" spans="1:17" x14ac:dyDescent="0.25">
      <c r="A17" s="97">
        <v>44456</v>
      </c>
      <c r="B17" s="37" t="s">
        <v>228</v>
      </c>
      <c r="C17" s="153" t="s">
        <v>175</v>
      </c>
      <c r="D17" s="129">
        <f t="shared" si="0"/>
        <v>5</v>
      </c>
      <c r="M17" s="6">
        <v>5</v>
      </c>
      <c r="Q17" s="128"/>
    </row>
    <row r="18" spans="1:17" x14ac:dyDescent="0.25">
      <c r="A18" s="97">
        <v>44470</v>
      </c>
      <c r="B18" s="37" t="s">
        <v>236</v>
      </c>
      <c r="C18" s="153" t="s">
        <v>175</v>
      </c>
      <c r="D18" s="129">
        <f t="shared" si="0"/>
        <v>100</v>
      </c>
      <c r="M18" s="6">
        <v>100</v>
      </c>
      <c r="Q18" s="128"/>
    </row>
    <row r="19" spans="1:17" x14ac:dyDescent="0.25">
      <c r="A19" s="97">
        <v>44481</v>
      </c>
      <c r="B19" s="37" t="s">
        <v>237</v>
      </c>
      <c r="C19" s="153" t="s">
        <v>175</v>
      </c>
      <c r="D19" s="129">
        <f t="shared" si="0"/>
        <v>100</v>
      </c>
      <c r="M19" s="6">
        <v>100</v>
      </c>
      <c r="Q19" s="128"/>
    </row>
    <row r="20" spans="1:17" x14ac:dyDescent="0.25">
      <c r="A20" s="97">
        <v>44501</v>
      </c>
      <c r="B20" s="37" t="s">
        <v>249</v>
      </c>
      <c r="C20" s="153" t="s">
        <v>175</v>
      </c>
      <c r="D20" s="129">
        <f t="shared" si="0"/>
        <v>101.64</v>
      </c>
      <c r="L20" s="6">
        <v>101.64</v>
      </c>
      <c r="Q20" s="128"/>
    </row>
    <row r="21" spans="1:17" x14ac:dyDescent="0.25">
      <c r="A21" s="97">
        <v>44523</v>
      </c>
      <c r="B21" s="9" t="s">
        <v>250</v>
      </c>
      <c r="C21" s="153" t="s">
        <v>175</v>
      </c>
      <c r="D21" s="129">
        <f t="shared" si="0"/>
        <v>399</v>
      </c>
      <c r="H21" s="6">
        <v>367</v>
      </c>
      <c r="M21" s="6">
        <v>32</v>
      </c>
      <c r="Q21" s="128"/>
    </row>
    <row r="22" spans="1:17" x14ac:dyDescent="0.25">
      <c r="A22" s="97">
        <v>44529</v>
      </c>
      <c r="B22" s="37" t="s">
        <v>249</v>
      </c>
      <c r="C22" s="153" t="s">
        <v>175</v>
      </c>
      <c r="D22" s="129">
        <f t="shared" si="0"/>
        <v>101.64</v>
      </c>
      <c r="L22" s="6">
        <v>101.64</v>
      </c>
      <c r="Q22" s="128"/>
    </row>
    <row r="23" spans="1:17" x14ac:dyDescent="0.25">
      <c r="A23" s="13"/>
      <c r="B23" s="122"/>
      <c r="C23" s="122"/>
      <c r="D23" s="129">
        <f t="shared" si="0"/>
        <v>0</v>
      </c>
      <c r="Q23" s="128"/>
    </row>
    <row r="24" spans="1:17" x14ac:dyDescent="0.25">
      <c r="A24" s="13"/>
      <c r="D24" s="129">
        <f t="shared" si="0"/>
        <v>0</v>
      </c>
      <c r="Q24" s="128"/>
    </row>
    <row r="25" spans="1:17" x14ac:dyDescent="0.25">
      <c r="A25" s="13"/>
      <c r="D25" s="129">
        <f t="shared" si="0"/>
        <v>0</v>
      </c>
      <c r="Q25" s="128"/>
    </row>
    <row r="26" spans="1:17" s="122" customFormat="1" x14ac:dyDescent="0.25">
      <c r="A26" s="13"/>
      <c r="D26" s="129">
        <f t="shared" si="0"/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28"/>
    </row>
    <row r="27" spans="1:17" s="122" customFormat="1" x14ac:dyDescent="0.25">
      <c r="A27" s="13"/>
      <c r="D27" s="129">
        <f t="shared" si="0"/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28"/>
    </row>
    <row r="28" spans="1:17" s="122" customFormat="1" x14ac:dyDescent="0.25">
      <c r="A28" s="13"/>
      <c r="D28" s="129">
        <f t="shared" si="0"/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28"/>
    </row>
    <row r="29" spans="1:17" s="122" customFormat="1" x14ac:dyDescent="0.25">
      <c r="A29" s="13"/>
      <c r="D29" s="129">
        <f t="shared" si="0"/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28"/>
    </row>
    <row r="30" spans="1:17" s="122" customFormat="1" x14ac:dyDescent="0.25">
      <c r="A30" s="13"/>
      <c r="D30" s="129">
        <f t="shared" si="0"/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28"/>
    </row>
    <row r="31" spans="1:17" s="122" customFormat="1" x14ac:dyDescent="0.25">
      <c r="A31" s="13"/>
      <c r="D31" s="129">
        <f t="shared" si="0"/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28"/>
    </row>
    <row r="32" spans="1:17" s="122" customFormat="1" x14ac:dyDescent="0.25">
      <c r="A32" s="13"/>
      <c r="D32" s="129">
        <f t="shared" si="0"/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28"/>
    </row>
    <row r="33" spans="1:17" s="122" customFormat="1" x14ac:dyDescent="0.25">
      <c r="A33" s="13"/>
      <c r="D33" s="129">
        <f t="shared" si="0"/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28"/>
    </row>
    <row r="34" spans="1:17" s="122" customFormat="1" x14ac:dyDescent="0.25">
      <c r="A34" s="13"/>
      <c r="D34" s="129">
        <f t="shared" si="0"/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28"/>
    </row>
    <row r="35" spans="1:17" x14ac:dyDescent="0.25">
      <c r="A35" s="13"/>
      <c r="D35" s="129">
        <f t="shared" si="0"/>
        <v>0</v>
      </c>
      <c r="Q35" s="128"/>
    </row>
    <row r="36" spans="1:17" x14ac:dyDescent="0.25">
      <c r="D36" s="31">
        <f>SUM(D8:D35)</f>
        <v>29592.119999999995</v>
      </c>
      <c r="E36" s="31">
        <f>SUM(E8:E35)</f>
        <v>27000</v>
      </c>
      <c r="F36" s="31">
        <f>SUM(F8:F35)</f>
        <v>1280</v>
      </c>
      <c r="G36" s="31">
        <f>SUM(G8:G35)</f>
        <v>0</v>
      </c>
      <c r="H36" s="31">
        <f t="shared" ref="H36:P36" si="1">SUM(H8:H35)</f>
        <v>367</v>
      </c>
      <c r="I36" s="31">
        <f t="shared" si="1"/>
        <v>0</v>
      </c>
      <c r="J36" s="31">
        <f t="shared" si="1"/>
        <v>0</v>
      </c>
      <c r="K36" s="31">
        <f t="shared" si="1"/>
        <v>0</v>
      </c>
      <c r="L36" s="31">
        <f t="shared" si="1"/>
        <v>503.11999999999995</v>
      </c>
      <c r="M36" s="31">
        <f t="shared" si="1"/>
        <v>242</v>
      </c>
      <c r="N36" s="31">
        <f t="shared" si="1"/>
        <v>0</v>
      </c>
      <c r="O36" s="31">
        <f t="shared" si="1"/>
        <v>0</v>
      </c>
      <c r="P36" s="31">
        <f t="shared" si="1"/>
        <v>200</v>
      </c>
      <c r="Q36" s="130">
        <f>SUM(E36:P36)</f>
        <v>29592.12</v>
      </c>
    </row>
    <row r="39" spans="1:17" x14ac:dyDescent="0.25">
      <c r="A39" s="13"/>
    </row>
    <row r="40" spans="1:17" x14ac:dyDescent="0.25">
      <c r="Q40" s="6">
        <f>E36+H36+I36+J36+K36+M36+P36</f>
        <v>27809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2EC2F-A268-4A63-BDE0-2874B7EE18A7}">
  <dimension ref="A1:AP92"/>
  <sheetViews>
    <sheetView workbookViewId="0">
      <pane xSplit="5" ySplit="7" topLeftCell="I47" activePane="bottomRight" state="frozen"/>
      <selection pane="topRight" activeCell="F1" sqref="F1"/>
      <selection pane="bottomLeft" activeCell="A8" sqref="A8"/>
      <selection pane="bottomRight" activeCell="E71" sqref="E71"/>
    </sheetView>
  </sheetViews>
  <sheetFormatPr defaultRowHeight="15" x14ac:dyDescent="0.25"/>
  <cols>
    <col min="1" max="1" width="12.42578125" customWidth="1"/>
    <col min="2" max="2" width="23.42578125" customWidth="1"/>
    <col min="4" max="4" width="10.7109375" bestFit="1" customWidth="1"/>
    <col min="5" max="5" width="10.140625" bestFit="1" customWidth="1"/>
    <col min="6" max="6" width="16.140625" bestFit="1" customWidth="1"/>
    <col min="7" max="8" width="16.140625" customWidth="1"/>
    <col min="9" max="9" width="12.7109375" customWidth="1"/>
    <col min="10" max="10" width="13.5703125" customWidth="1"/>
    <col min="12" max="12" width="13" customWidth="1"/>
    <col min="15" max="15" width="14.42578125" customWidth="1"/>
    <col min="20" max="20" width="10.7109375" customWidth="1"/>
    <col min="21" max="21" width="13.140625" customWidth="1"/>
    <col min="27" max="27" width="12.140625" customWidth="1"/>
    <col min="29" max="29" width="11.42578125" customWidth="1"/>
    <col min="35" max="35" width="10.140625" bestFit="1" customWidth="1"/>
    <col min="36" max="37" width="10.140625" style="122" customWidth="1"/>
    <col min="39" max="39" width="10.85546875" customWidth="1"/>
    <col min="40" max="40" width="15.28515625" customWidth="1"/>
  </cols>
  <sheetData>
    <row r="1" spans="1:42" x14ac:dyDescent="0.25">
      <c r="A1" s="13"/>
      <c r="B1" s="6"/>
      <c r="C1" s="8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x14ac:dyDescent="0.25">
      <c r="A2" s="13"/>
      <c r="B2" s="6"/>
      <c r="C2" s="8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49" customFormat="1" ht="21" x14ac:dyDescent="0.35">
      <c r="A3" s="82" t="s">
        <v>0</v>
      </c>
      <c r="B3" s="83"/>
      <c r="C3" s="84"/>
      <c r="D3" s="85"/>
      <c r="E3" s="83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</row>
    <row r="4" spans="1:42" x14ac:dyDescent="0.25">
      <c r="A4" s="13"/>
      <c r="B4" s="6"/>
      <c r="C4" s="8"/>
      <c r="D4" s="2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x14ac:dyDescent="0.25">
      <c r="A5" s="22" t="s">
        <v>235</v>
      </c>
      <c r="B5" s="6"/>
      <c r="C5" s="8"/>
      <c r="D5" s="2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x14ac:dyDescent="0.25">
      <c r="A6" s="13"/>
      <c r="B6" s="6"/>
      <c r="C6" s="8"/>
      <c r="D6" s="21"/>
      <c r="E6" s="6"/>
      <c r="F6" s="23" t="s">
        <v>67</v>
      </c>
      <c r="G6" s="108"/>
      <c r="H6" s="173" t="s">
        <v>9</v>
      </c>
      <c r="I6" s="173"/>
      <c r="J6" s="173"/>
      <c r="K6" s="173"/>
      <c r="L6" s="173"/>
      <c r="M6" s="173"/>
      <c r="N6" s="173"/>
      <c r="O6" s="173"/>
      <c r="P6" s="173"/>
      <c r="Q6" s="173"/>
      <c r="R6" s="174" t="s">
        <v>68</v>
      </c>
      <c r="S6" s="174"/>
      <c r="T6" s="174" t="s">
        <v>69</v>
      </c>
      <c r="U6" s="174"/>
      <c r="V6" s="174"/>
      <c r="W6" s="174"/>
      <c r="X6" s="174"/>
      <c r="Y6" s="174"/>
      <c r="Z6" s="174"/>
      <c r="AA6" s="174"/>
      <c r="AB6" s="174"/>
      <c r="AC6" s="174"/>
      <c r="AD6" s="24"/>
      <c r="AE6" s="24"/>
      <c r="AF6" s="24"/>
      <c r="AG6" s="174" t="s">
        <v>70</v>
      </c>
      <c r="AH6" s="174"/>
      <c r="AI6" s="25"/>
      <c r="AJ6" s="139"/>
      <c r="AK6" s="139"/>
      <c r="AL6" s="174" t="s">
        <v>71</v>
      </c>
      <c r="AM6" s="174"/>
      <c r="AN6" s="6"/>
      <c r="AO6" s="6"/>
      <c r="AP6" s="6"/>
    </row>
    <row r="7" spans="1:42" s="56" customFormat="1" ht="45" x14ac:dyDescent="0.25">
      <c r="A7" s="77" t="s">
        <v>133</v>
      </c>
      <c r="B7" s="78" t="s">
        <v>55</v>
      </c>
      <c r="C7" s="79" t="s">
        <v>72</v>
      </c>
      <c r="D7" s="80" t="s">
        <v>73</v>
      </c>
      <c r="E7" s="78" t="s">
        <v>16</v>
      </c>
      <c r="F7" s="78" t="s">
        <v>121</v>
      </c>
      <c r="G7" s="78" t="s">
        <v>120</v>
      </c>
      <c r="H7" s="78" t="s">
        <v>10</v>
      </c>
      <c r="I7" s="78" t="s">
        <v>74</v>
      </c>
      <c r="J7" s="78" t="s">
        <v>75</v>
      </c>
      <c r="K7" s="78" t="s">
        <v>76</v>
      </c>
      <c r="L7" s="78" t="s">
        <v>77</v>
      </c>
      <c r="M7" s="78" t="s">
        <v>38</v>
      </c>
      <c r="N7" s="78" t="s">
        <v>44</v>
      </c>
      <c r="O7" s="78" t="s">
        <v>78</v>
      </c>
      <c r="P7" s="78" t="s">
        <v>14</v>
      </c>
      <c r="Q7" s="78" t="s">
        <v>15</v>
      </c>
      <c r="R7" s="78" t="s">
        <v>79</v>
      </c>
      <c r="S7" s="78" t="s">
        <v>80</v>
      </c>
      <c r="T7" s="78" t="s">
        <v>81</v>
      </c>
      <c r="U7" s="78" t="s">
        <v>21</v>
      </c>
      <c r="V7" s="78" t="s">
        <v>22</v>
      </c>
      <c r="W7" s="78" t="s">
        <v>23</v>
      </c>
      <c r="X7" s="78" t="s">
        <v>24</v>
      </c>
      <c r="Y7" s="78" t="s">
        <v>82</v>
      </c>
      <c r="Z7" s="78" t="s">
        <v>83</v>
      </c>
      <c r="AA7" s="78" t="s">
        <v>27</v>
      </c>
      <c r="AB7" s="78" t="s">
        <v>28</v>
      </c>
      <c r="AC7" s="78" t="s">
        <v>29</v>
      </c>
      <c r="AD7" s="78" t="s">
        <v>30</v>
      </c>
      <c r="AE7" s="78" t="s">
        <v>31</v>
      </c>
      <c r="AF7" s="78" t="s">
        <v>32</v>
      </c>
      <c r="AG7" s="78" t="s">
        <v>44</v>
      </c>
      <c r="AH7" s="78" t="s">
        <v>38</v>
      </c>
      <c r="AI7" s="78" t="s">
        <v>84</v>
      </c>
      <c r="AJ7" s="101" t="s">
        <v>148</v>
      </c>
      <c r="AK7" s="101" t="s">
        <v>87</v>
      </c>
      <c r="AL7" s="78" t="s">
        <v>40</v>
      </c>
      <c r="AM7" s="78" t="s">
        <v>41</v>
      </c>
      <c r="AN7" s="78" t="s">
        <v>42</v>
      </c>
      <c r="AO7" s="78" t="s">
        <v>85</v>
      </c>
      <c r="AP7" s="78"/>
    </row>
    <row r="8" spans="1:42" x14ac:dyDescent="0.25">
      <c r="A8" s="97">
        <v>44312</v>
      </c>
      <c r="B8" s="37" t="s">
        <v>156</v>
      </c>
      <c r="C8" s="8"/>
      <c r="D8" s="21" t="s">
        <v>175</v>
      </c>
      <c r="E8" s="143">
        <f t="shared" ref="E8:E10" si="0">SUM(F8:AO8)</f>
        <v>282</v>
      </c>
      <c r="F8" s="11" t="s">
        <v>180</v>
      </c>
      <c r="G8" s="145"/>
      <c r="H8" s="11"/>
      <c r="I8" s="11"/>
      <c r="J8" s="11"/>
      <c r="K8" s="11"/>
      <c r="L8" s="11"/>
      <c r="M8" s="11"/>
      <c r="N8" s="11"/>
      <c r="O8" s="11"/>
      <c r="P8" s="11">
        <v>235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42"/>
      <c r="AD8" s="11"/>
      <c r="AE8" s="11"/>
      <c r="AF8" s="11">
        <v>47</v>
      </c>
      <c r="AG8" s="11"/>
      <c r="AH8" s="6"/>
      <c r="AI8" s="6"/>
      <c r="AJ8" s="6"/>
      <c r="AK8" s="6"/>
      <c r="AL8" s="6"/>
      <c r="AM8" s="6"/>
      <c r="AN8" s="6"/>
      <c r="AO8" s="6"/>
      <c r="AP8" s="6"/>
    </row>
    <row r="9" spans="1:42" x14ac:dyDescent="0.25">
      <c r="A9" s="97">
        <v>44312</v>
      </c>
      <c r="B9" s="37" t="s">
        <v>157</v>
      </c>
      <c r="C9" s="2"/>
      <c r="D9" s="21" t="s">
        <v>175</v>
      </c>
      <c r="E9" s="143">
        <f t="shared" si="0"/>
        <v>20.100000000000001</v>
      </c>
      <c r="F9" s="10" t="s">
        <v>177</v>
      </c>
      <c r="G9" s="10"/>
      <c r="H9" s="11"/>
      <c r="I9" s="11"/>
      <c r="J9" s="11"/>
      <c r="K9" s="11"/>
      <c r="L9" s="11"/>
      <c r="M9" s="11"/>
      <c r="N9" s="11"/>
      <c r="O9" s="11"/>
      <c r="P9" s="11"/>
      <c r="Q9" s="11">
        <v>20.100000000000001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42"/>
      <c r="AD9" s="11"/>
      <c r="AE9" s="11"/>
      <c r="AF9" s="11"/>
      <c r="AG9" s="11"/>
      <c r="AH9" s="6"/>
      <c r="AI9" s="6"/>
      <c r="AJ9" s="6"/>
      <c r="AK9" s="6"/>
      <c r="AL9" s="6"/>
      <c r="AM9" s="6"/>
      <c r="AN9" s="6"/>
      <c r="AO9" s="6"/>
      <c r="AP9" s="6"/>
    </row>
    <row r="10" spans="1:42" x14ac:dyDescent="0.25">
      <c r="A10" s="97">
        <v>44312</v>
      </c>
      <c r="B10" s="97" t="s">
        <v>114</v>
      </c>
      <c r="C10" s="2"/>
      <c r="D10" s="21" t="s">
        <v>175</v>
      </c>
      <c r="E10" s="143">
        <f t="shared" si="0"/>
        <v>4.8</v>
      </c>
      <c r="F10" s="145" t="s">
        <v>178</v>
      </c>
      <c r="G10" s="10"/>
      <c r="H10" s="143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>
        <v>4</v>
      </c>
      <c r="AA10" s="11"/>
      <c r="AB10" s="11"/>
      <c r="AC10" s="142"/>
      <c r="AD10" s="11"/>
      <c r="AE10" s="11"/>
      <c r="AF10" s="11">
        <v>0.8</v>
      </c>
      <c r="AG10" s="11"/>
      <c r="AH10" s="6"/>
      <c r="AI10" s="6"/>
      <c r="AJ10" s="6"/>
      <c r="AK10" s="6"/>
      <c r="AL10" s="6"/>
      <c r="AM10" s="6"/>
      <c r="AN10" s="6"/>
      <c r="AO10" s="6"/>
      <c r="AP10" s="6"/>
    </row>
    <row r="11" spans="1:42" x14ac:dyDescent="0.25">
      <c r="A11" s="28">
        <v>44312</v>
      </c>
      <c r="B11" s="29" t="s">
        <v>136</v>
      </c>
      <c r="C11" s="30"/>
      <c r="D11" s="21" t="s">
        <v>175</v>
      </c>
      <c r="E11" s="143">
        <f t="shared" ref="E11:E74" si="1">SUM(F11:AO11)</f>
        <v>25.31</v>
      </c>
      <c r="F11" s="10" t="s">
        <v>176</v>
      </c>
      <c r="G11" s="9"/>
      <c r="H11" s="9"/>
      <c r="I11" s="9"/>
      <c r="J11" s="9"/>
      <c r="K11" s="9"/>
      <c r="L11" s="9"/>
      <c r="M11" s="9">
        <v>21.09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142"/>
      <c r="AD11" s="9"/>
      <c r="AE11" s="9"/>
      <c r="AF11" s="9">
        <v>4.22</v>
      </c>
      <c r="AG11" s="9"/>
      <c r="AH11" s="29"/>
      <c r="AI11" s="29"/>
      <c r="AJ11" s="29"/>
      <c r="AK11" s="29"/>
      <c r="AL11" s="29"/>
      <c r="AM11" s="29"/>
      <c r="AN11" s="29"/>
      <c r="AO11" s="29"/>
      <c r="AP11" s="29"/>
    </row>
    <row r="12" spans="1:42" x14ac:dyDescent="0.25">
      <c r="A12" s="28">
        <v>44312</v>
      </c>
      <c r="B12" s="29" t="s">
        <v>158</v>
      </c>
      <c r="C12" s="30"/>
      <c r="D12" s="21" t="s">
        <v>175</v>
      </c>
      <c r="E12" s="143">
        <f t="shared" si="1"/>
        <v>134.4</v>
      </c>
      <c r="F12" s="9" t="s">
        <v>181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>
        <v>134.4</v>
      </c>
      <c r="T12" s="9"/>
      <c r="U12" s="9"/>
      <c r="V12" s="9"/>
      <c r="W12" s="9"/>
      <c r="X12" s="9"/>
      <c r="Y12" s="9"/>
      <c r="Z12" s="9"/>
      <c r="AA12" s="9"/>
      <c r="AB12" s="9"/>
      <c r="AC12" s="142"/>
      <c r="AD12" s="9"/>
      <c r="AE12" s="9"/>
      <c r="AF12" s="9"/>
      <c r="AG12" s="9"/>
      <c r="AH12" s="29"/>
      <c r="AI12" s="29"/>
      <c r="AJ12" s="29"/>
      <c r="AK12" s="29"/>
      <c r="AL12" s="29"/>
      <c r="AM12" s="29"/>
      <c r="AN12" s="29"/>
      <c r="AO12" s="29"/>
      <c r="AP12" s="29"/>
    </row>
    <row r="13" spans="1:42" x14ac:dyDescent="0.25">
      <c r="A13" s="28">
        <v>44312</v>
      </c>
      <c r="B13" s="29" t="s">
        <v>159</v>
      </c>
      <c r="C13" s="30"/>
      <c r="D13" s="21" t="s">
        <v>175</v>
      </c>
      <c r="E13" s="143">
        <f t="shared" si="1"/>
        <v>586.07000000000005</v>
      </c>
      <c r="F13" s="9" t="s">
        <v>181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v>537.6</v>
      </c>
      <c r="T13" s="9"/>
      <c r="U13" s="9"/>
      <c r="V13" s="9"/>
      <c r="W13" s="9">
        <v>10.98</v>
      </c>
      <c r="X13" s="9">
        <v>34.130000000000003</v>
      </c>
      <c r="Y13" s="9"/>
      <c r="Z13" s="9"/>
      <c r="AA13" s="9"/>
      <c r="AB13" s="9"/>
      <c r="AC13" s="142"/>
      <c r="AD13" s="9"/>
      <c r="AE13" s="9"/>
      <c r="AF13" s="9">
        <v>3.36</v>
      </c>
      <c r="AG13" s="9"/>
      <c r="AH13" s="29"/>
      <c r="AI13" s="29"/>
      <c r="AJ13" s="29"/>
      <c r="AK13" s="29"/>
      <c r="AL13" s="29"/>
      <c r="AM13" s="29"/>
      <c r="AN13" s="29"/>
      <c r="AO13" s="29"/>
      <c r="AP13" s="29"/>
    </row>
    <row r="14" spans="1:42" x14ac:dyDescent="0.25">
      <c r="A14" s="28">
        <v>44312</v>
      </c>
      <c r="B14" s="29" t="s">
        <v>160</v>
      </c>
      <c r="C14" s="30"/>
      <c r="D14" s="21" t="s">
        <v>175</v>
      </c>
      <c r="E14" s="143">
        <f t="shared" si="1"/>
        <v>884.99</v>
      </c>
      <c r="F14" s="10" t="s">
        <v>179</v>
      </c>
      <c r="G14" s="9"/>
      <c r="H14" s="9"/>
      <c r="I14" s="9"/>
      <c r="J14" s="9"/>
      <c r="K14" s="9"/>
      <c r="L14" s="9"/>
      <c r="M14" s="9">
        <v>737.49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42"/>
      <c r="AD14" s="9"/>
      <c r="AE14" s="9"/>
      <c r="AF14" s="9">
        <v>147.5</v>
      </c>
      <c r="AG14" s="9"/>
      <c r="AH14" s="29"/>
      <c r="AI14" s="29"/>
      <c r="AJ14" s="29"/>
      <c r="AK14" s="29"/>
      <c r="AL14" s="29"/>
      <c r="AM14" s="29"/>
      <c r="AN14" s="29"/>
      <c r="AO14" s="29"/>
      <c r="AP14" s="29"/>
    </row>
    <row r="15" spans="1:42" s="122" customFormat="1" x14ac:dyDescent="0.25">
      <c r="A15" s="28">
        <v>44312</v>
      </c>
      <c r="B15" s="29" t="s">
        <v>161</v>
      </c>
      <c r="C15" s="30"/>
      <c r="D15" s="21" t="s">
        <v>175</v>
      </c>
      <c r="E15" s="143">
        <f t="shared" si="1"/>
        <v>162</v>
      </c>
      <c r="F15" s="10" t="s">
        <v>179</v>
      </c>
      <c r="G15" s="9"/>
      <c r="H15" s="9"/>
      <c r="I15" s="9"/>
      <c r="J15" s="9"/>
      <c r="K15" s="9"/>
      <c r="L15" s="9"/>
      <c r="M15" s="9">
        <v>135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0"/>
      <c r="AA15" s="9"/>
      <c r="AB15" s="9"/>
      <c r="AC15" s="142"/>
      <c r="AD15" s="9"/>
      <c r="AE15" s="9"/>
      <c r="AF15" s="9">
        <v>27</v>
      </c>
      <c r="AG15" s="9"/>
      <c r="AH15" s="29"/>
      <c r="AI15" s="29"/>
      <c r="AJ15" s="29"/>
      <c r="AK15" s="29"/>
      <c r="AL15" s="29"/>
      <c r="AM15" s="29"/>
      <c r="AN15" s="29"/>
      <c r="AO15" s="29"/>
      <c r="AP15" s="29"/>
    </row>
    <row r="16" spans="1:42" s="122" customFormat="1" x14ac:dyDescent="0.25">
      <c r="A16" s="28">
        <v>44312</v>
      </c>
      <c r="B16" s="29" t="s">
        <v>114</v>
      </c>
      <c r="C16" s="30"/>
      <c r="D16" s="21" t="s">
        <v>175</v>
      </c>
      <c r="E16" s="143">
        <f t="shared" si="1"/>
        <v>33.6</v>
      </c>
      <c r="F16" s="145" t="s">
        <v>178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>
        <v>28</v>
      </c>
      <c r="AA16" s="9"/>
      <c r="AB16" s="9"/>
      <c r="AC16" s="142"/>
      <c r="AD16" s="9"/>
      <c r="AE16" s="9"/>
      <c r="AF16" s="9">
        <v>5.6</v>
      </c>
      <c r="AG16" s="9"/>
      <c r="AH16" s="29"/>
      <c r="AI16" s="29"/>
      <c r="AJ16" s="29"/>
      <c r="AK16" s="29"/>
      <c r="AL16" s="29"/>
      <c r="AM16" s="29"/>
      <c r="AN16" s="29"/>
      <c r="AO16" s="29"/>
      <c r="AP16" s="29"/>
    </row>
    <row r="17" spans="1:42" s="122" customFormat="1" x14ac:dyDescent="0.25">
      <c r="A17" s="28">
        <v>44312</v>
      </c>
      <c r="B17" s="29" t="s">
        <v>157</v>
      </c>
      <c r="C17" s="30"/>
      <c r="D17" s="21" t="s">
        <v>175</v>
      </c>
      <c r="E17" s="143">
        <f t="shared" si="1"/>
        <v>20.100000000000001</v>
      </c>
      <c r="F17" s="10" t="s">
        <v>177</v>
      </c>
      <c r="G17" s="9"/>
      <c r="H17" s="10"/>
      <c r="I17" s="9"/>
      <c r="J17" s="9"/>
      <c r="K17" s="9"/>
      <c r="L17" s="9"/>
      <c r="M17" s="9"/>
      <c r="N17" s="9"/>
      <c r="O17" s="9"/>
      <c r="P17" s="9"/>
      <c r="Q17" s="9">
        <v>20.100000000000001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142"/>
      <c r="AD17" s="9"/>
      <c r="AE17" s="9"/>
      <c r="AF17" s="9"/>
      <c r="AG17" s="9"/>
      <c r="AH17" s="29"/>
      <c r="AI17" s="29"/>
      <c r="AJ17" s="29"/>
      <c r="AK17" s="29"/>
      <c r="AL17" s="29"/>
      <c r="AM17" s="29"/>
      <c r="AN17" s="29"/>
      <c r="AO17" s="29"/>
      <c r="AP17" s="29"/>
    </row>
    <row r="18" spans="1:42" s="122" customFormat="1" x14ac:dyDescent="0.25">
      <c r="A18" s="28">
        <v>44312</v>
      </c>
      <c r="B18" s="29" t="s">
        <v>156</v>
      </c>
      <c r="C18" s="30"/>
      <c r="D18" s="21" t="s">
        <v>175</v>
      </c>
      <c r="E18" s="143">
        <f t="shared" si="1"/>
        <v>780</v>
      </c>
      <c r="F18" s="11" t="s">
        <v>180</v>
      </c>
      <c r="G18" s="9"/>
      <c r="H18" s="9"/>
      <c r="I18" s="9">
        <v>650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42"/>
      <c r="AD18" s="9"/>
      <c r="AE18" s="9"/>
      <c r="AF18" s="9">
        <v>130</v>
      </c>
      <c r="AG18" s="9"/>
      <c r="AH18" s="29"/>
      <c r="AI18" s="29"/>
      <c r="AJ18" s="29"/>
      <c r="AK18" s="29"/>
      <c r="AL18" s="29"/>
      <c r="AM18" s="29"/>
      <c r="AN18" s="29"/>
      <c r="AO18" s="29"/>
      <c r="AP18" s="29"/>
    </row>
    <row r="19" spans="1:42" s="122" customFormat="1" x14ac:dyDescent="0.25">
      <c r="A19" s="28">
        <v>44312</v>
      </c>
      <c r="B19" s="29" t="s">
        <v>171</v>
      </c>
      <c r="C19" s="30"/>
      <c r="D19" s="21" t="s">
        <v>175</v>
      </c>
      <c r="E19" s="143">
        <f t="shared" si="1"/>
        <v>14.39</v>
      </c>
      <c r="F19" s="145" t="s">
        <v>178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v>14.39</v>
      </c>
      <c r="Y19" s="9"/>
      <c r="Z19" s="9"/>
      <c r="AA19" s="9"/>
      <c r="AB19" s="9"/>
      <c r="AC19" s="142"/>
      <c r="AD19" s="9"/>
      <c r="AE19" s="9"/>
      <c r="AF19" s="9"/>
      <c r="AG19" s="9"/>
      <c r="AH19" s="29"/>
      <c r="AI19" s="29"/>
      <c r="AJ19" s="29"/>
      <c r="AK19" s="29"/>
      <c r="AL19" s="29"/>
      <c r="AM19" s="29"/>
      <c r="AN19" s="29"/>
      <c r="AO19" s="29"/>
      <c r="AP19" s="29"/>
    </row>
    <row r="20" spans="1:42" s="122" customFormat="1" x14ac:dyDescent="0.25">
      <c r="A20" s="97">
        <v>44321</v>
      </c>
      <c r="B20" s="37" t="s">
        <v>114</v>
      </c>
      <c r="C20" s="30"/>
      <c r="D20" s="21" t="s">
        <v>175</v>
      </c>
      <c r="E20" s="143">
        <f t="shared" si="1"/>
        <v>4.8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>
        <v>4</v>
      </c>
      <c r="AA20" s="29"/>
      <c r="AB20" s="29"/>
      <c r="AC20" s="27"/>
      <c r="AD20" s="29"/>
      <c r="AE20" s="29"/>
      <c r="AF20" s="29">
        <v>0.8</v>
      </c>
      <c r="AG20" s="29"/>
      <c r="AH20" s="29"/>
      <c r="AI20" s="29"/>
      <c r="AJ20" s="29"/>
      <c r="AK20" s="29"/>
      <c r="AL20" s="29"/>
      <c r="AM20" s="29"/>
      <c r="AN20" s="29"/>
      <c r="AO20" s="29"/>
      <c r="AP20" s="29"/>
    </row>
    <row r="21" spans="1:42" s="122" customFormat="1" x14ac:dyDescent="0.25">
      <c r="A21" s="97">
        <v>44321</v>
      </c>
      <c r="B21" s="37" t="s">
        <v>167</v>
      </c>
      <c r="C21" s="30"/>
      <c r="D21" s="21" t="s">
        <v>175</v>
      </c>
      <c r="E21" s="143">
        <f t="shared" si="1"/>
        <v>589.01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>
        <v>537.6</v>
      </c>
      <c r="T21" s="29"/>
      <c r="U21" s="29"/>
      <c r="V21" s="29"/>
      <c r="W21" s="29">
        <v>10.98</v>
      </c>
      <c r="X21" s="29">
        <f>(17.36+10.28+9.99+2.8)</f>
        <v>40.43</v>
      </c>
      <c r="Y21" s="29"/>
      <c r="Z21" s="29"/>
      <c r="AA21" s="29"/>
      <c r="AB21" s="29"/>
      <c r="AC21" s="27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</row>
    <row r="22" spans="1:42" s="122" customFormat="1" x14ac:dyDescent="0.25">
      <c r="A22" s="97">
        <v>44321</v>
      </c>
      <c r="B22" s="37" t="s">
        <v>166</v>
      </c>
      <c r="C22" s="30"/>
      <c r="D22" s="21" t="s">
        <v>175</v>
      </c>
      <c r="E22" s="143">
        <f t="shared" si="1"/>
        <v>134.4</v>
      </c>
      <c r="F22" s="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>
        <v>134.4</v>
      </c>
      <c r="T22" s="29"/>
      <c r="U22" s="29"/>
      <c r="V22" s="29"/>
      <c r="W22" s="29"/>
      <c r="X22" s="29"/>
      <c r="Y22" s="29"/>
      <c r="Z22" s="29"/>
      <c r="AA22" s="29"/>
      <c r="AB22" s="29"/>
      <c r="AC22" s="27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</row>
    <row r="23" spans="1:42" s="2" customFormat="1" x14ac:dyDescent="0.25">
      <c r="A23" s="97">
        <v>44321</v>
      </c>
      <c r="B23" s="37" t="s">
        <v>188</v>
      </c>
      <c r="C23" s="30"/>
      <c r="D23" s="21" t="s">
        <v>175</v>
      </c>
      <c r="E23" s="144">
        <f t="shared" si="1"/>
        <v>156</v>
      </c>
      <c r="G23" s="30"/>
      <c r="H23" s="30"/>
      <c r="I23" s="30"/>
      <c r="J23" s="30"/>
      <c r="K23" s="30"/>
      <c r="L23" s="30"/>
      <c r="M23" s="30"/>
      <c r="N23" s="30"/>
      <c r="O23" s="30"/>
      <c r="P23" s="30">
        <v>130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8"/>
      <c r="AD23" s="30"/>
      <c r="AE23" s="30"/>
      <c r="AF23" s="30">
        <v>26</v>
      </c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s="2" customFormat="1" x14ac:dyDescent="0.25">
      <c r="A24" s="97">
        <v>44333</v>
      </c>
      <c r="B24" s="37" t="s">
        <v>167</v>
      </c>
      <c r="C24" s="30"/>
      <c r="D24" s="21" t="s">
        <v>175</v>
      </c>
      <c r="E24" s="144">
        <f t="shared" si="1"/>
        <v>599.89</v>
      </c>
      <c r="F24" s="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>
        <v>537.6</v>
      </c>
      <c r="T24" s="30"/>
      <c r="U24" s="30"/>
      <c r="V24" s="30"/>
      <c r="W24" s="30">
        <v>24.66</v>
      </c>
      <c r="X24" s="30">
        <f>17.36+10.28+9.99-3.38</f>
        <v>34.25</v>
      </c>
      <c r="Y24" s="30"/>
      <c r="Z24" s="30"/>
      <c r="AA24" s="30"/>
      <c r="AB24" s="30"/>
      <c r="AC24" s="8"/>
      <c r="AD24" s="30"/>
      <c r="AE24" s="30"/>
      <c r="AF24" s="30">
        <v>3.38</v>
      </c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s="2" customFormat="1" x14ac:dyDescent="0.25">
      <c r="A25" s="97">
        <v>44333</v>
      </c>
      <c r="B25" s="37" t="s">
        <v>166</v>
      </c>
      <c r="C25" s="30"/>
      <c r="D25" s="21" t="s">
        <v>175</v>
      </c>
      <c r="E25" s="144">
        <f t="shared" si="1"/>
        <v>134.4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>
        <v>134.4</v>
      </c>
      <c r="T25" s="30"/>
      <c r="U25" s="30"/>
      <c r="V25" s="30"/>
      <c r="W25" s="30"/>
      <c r="X25" s="30"/>
      <c r="Y25" s="30"/>
      <c r="Z25" s="30"/>
      <c r="AA25" s="30"/>
      <c r="AB25" s="30"/>
      <c r="AC25" s="8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s="2" customFormat="1" x14ac:dyDescent="0.25">
      <c r="A26" s="97">
        <v>44333</v>
      </c>
      <c r="B26" s="37" t="s">
        <v>192</v>
      </c>
      <c r="C26" s="30"/>
      <c r="D26" s="21" t="s">
        <v>175</v>
      </c>
      <c r="E26" s="144">
        <f t="shared" si="1"/>
        <v>151.19999999999999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>
        <v>126</v>
      </c>
      <c r="V26" s="30"/>
      <c r="W26" s="30"/>
      <c r="X26" s="30"/>
      <c r="Y26" s="30"/>
      <c r="Z26" s="30"/>
      <c r="AA26" s="30"/>
      <c r="AB26" s="30"/>
      <c r="AC26" s="137"/>
      <c r="AD26" s="30"/>
      <c r="AE26" s="30"/>
      <c r="AF26" s="30">
        <v>25.2</v>
      </c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s="2" customFormat="1" x14ac:dyDescent="0.25">
      <c r="A27" s="97">
        <v>44333</v>
      </c>
      <c r="B27" s="37" t="s">
        <v>189</v>
      </c>
      <c r="C27" s="30"/>
      <c r="D27" s="21" t="s">
        <v>175</v>
      </c>
      <c r="E27" s="144">
        <f t="shared" si="1"/>
        <v>922.66</v>
      </c>
      <c r="F27" s="134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137"/>
      <c r="AD27" s="30"/>
      <c r="AE27" s="30"/>
      <c r="AF27" s="30"/>
      <c r="AG27" s="30"/>
      <c r="AH27" s="30"/>
      <c r="AI27" s="30"/>
      <c r="AJ27" s="30"/>
      <c r="AK27" s="30"/>
      <c r="AL27" s="30"/>
      <c r="AM27" s="30">
        <v>922.66</v>
      </c>
      <c r="AN27" s="30"/>
      <c r="AO27" s="30"/>
      <c r="AP27" s="30"/>
    </row>
    <row r="28" spans="1:42" s="2" customFormat="1" x14ac:dyDescent="0.25">
      <c r="A28" s="97">
        <v>44333</v>
      </c>
      <c r="B28" s="37" t="s">
        <v>189</v>
      </c>
      <c r="C28" s="30"/>
      <c r="D28" s="21" t="s">
        <v>175</v>
      </c>
      <c r="E28" s="144">
        <f t="shared" si="1"/>
        <v>40.32</v>
      </c>
      <c r="F28" s="8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137"/>
      <c r="AD28" s="30"/>
      <c r="AE28" s="30"/>
      <c r="AF28" s="30"/>
      <c r="AG28" s="30"/>
      <c r="AH28" s="30"/>
      <c r="AI28" s="30"/>
      <c r="AJ28" s="30"/>
      <c r="AK28" s="30"/>
      <c r="AL28" s="30"/>
      <c r="AM28" s="30">
        <v>40.32</v>
      </c>
      <c r="AN28" s="30"/>
      <c r="AO28" s="30"/>
      <c r="AP28" s="30"/>
    </row>
    <row r="29" spans="1:42" s="2" customFormat="1" x14ac:dyDescent="0.25">
      <c r="A29" s="97">
        <v>44333</v>
      </c>
      <c r="B29" s="37" t="s">
        <v>190</v>
      </c>
      <c r="C29" s="30"/>
      <c r="D29" s="21" t="s">
        <v>175</v>
      </c>
      <c r="E29" s="144">
        <f t="shared" si="1"/>
        <v>1096.3900000000001</v>
      </c>
      <c r="F29" s="8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>
        <v>1096.3900000000001</v>
      </c>
      <c r="U29" s="30"/>
      <c r="V29" s="30"/>
      <c r="W29" s="30"/>
      <c r="X29" s="30"/>
      <c r="Y29" s="30"/>
      <c r="Z29" s="30"/>
      <c r="AA29" s="30"/>
      <c r="AB29" s="30"/>
      <c r="AC29" s="137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s="2" customFormat="1" x14ac:dyDescent="0.25">
      <c r="A30" s="133">
        <v>44333</v>
      </c>
      <c r="B30" s="37" t="s">
        <v>191</v>
      </c>
      <c r="C30" s="30"/>
      <c r="D30" s="21" t="s">
        <v>175</v>
      </c>
      <c r="E30" s="144">
        <f t="shared" si="1"/>
        <v>1279.9399999999998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137"/>
      <c r="AD30" s="30"/>
      <c r="AE30" s="30"/>
      <c r="AF30" s="30"/>
      <c r="AG30" s="30"/>
      <c r="AH30" s="30"/>
      <c r="AI30" s="30"/>
      <c r="AJ30" s="30">
        <v>1066.6199999999999</v>
      </c>
      <c r="AK30" s="30"/>
      <c r="AL30" s="30"/>
      <c r="AM30" s="30"/>
      <c r="AN30" s="30"/>
      <c r="AO30" s="30">
        <v>213.32</v>
      </c>
      <c r="AP30" s="30"/>
    </row>
    <row r="31" spans="1:42" s="2" customFormat="1" x14ac:dyDescent="0.25">
      <c r="A31" s="97">
        <v>44333</v>
      </c>
      <c r="B31" s="37" t="s">
        <v>193</v>
      </c>
      <c r="C31" s="30"/>
      <c r="D31" s="21" t="s">
        <v>175</v>
      </c>
      <c r="E31" s="144">
        <f t="shared" si="1"/>
        <v>100</v>
      </c>
      <c r="F31" s="134"/>
      <c r="G31" s="30"/>
      <c r="H31" s="30"/>
      <c r="I31" s="30"/>
      <c r="J31" s="30"/>
      <c r="K31" s="30"/>
      <c r="L31" s="30">
        <v>100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137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s="2" customFormat="1" x14ac:dyDescent="0.25">
      <c r="A32" s="147">
        <v>44348</v>
      </c>
      <c r="B32" s="18" t="s">
        <v>199</v>
      </c>
      <c r="C32" s="18"/>
      <c r="D32" s="149" t="s">
        <v>200</v>
      </c>
      <c r="E32" s="143">
        <f t="shared" ref="E32:E35" si="2">SUM(F32:AO32)</f>
        <v>1315.22</v>
      </c>
      <c r="F32" s="134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137">
        <v>1315.22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s="122" customFormat="1" x14ac:dyDescent="0.25">
      <c r="A33" s="147">
        <v>44351</v>
      </c>
      <c r="B33" s="97" t="s">
        <v>114</v>
      </c>
      <c r="C33" s="2"/>
      <c r="D33" s="21" t="s">
        <v>175</v>
      </c>
      <c r="E33" s="143">
        <f t="shared" si="2"/>
        <v>4.8</v>
      </c>
      <c r="F33" s="145" t="s">
        <v>178</v>
      </c>
      <c r="G33" s="10"/>
      <c r="H33" s="143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>
        <v>4</v>
      </c>
      <c r="AA33" s="11"/>
      <c r="AB33" s="11"/>
      <c r="AC33" s="142"/>
      <c r="AD33" s="11"/>
      <c r="AE33" s="11"/>
      <c r="AF33" s="11">
        <v>0.8</v>
      </c>
      <c r="AG33" s="11"/>
      <c r="AH33" s="6"/>
      <c r="AI33" s="6"/>
      <c r="AJ33" s="6"/>
      <c r="AK33" s="6"/>
      <c r="AL33" s="6"/>
      <c r="AM33" s="6"/>
      <c r="AN33" s="6"/>
      <c r="AO33" s="6"/>
      <c r="AP33" s="6"/>
    </row>
    <row r="34" spans="1:42" s="2" customFormat="1" x14ac:dyDescent="0.25">
      <c r="A34" s="147">
        <v>44351</v>
      </c>
      <c r="B34" s="18" t="s">
        <v>201</v>
      </c>
      <c r="C34" s="18"/>
      <c r="D34" s="148" t="s">
        <v>175</v>
      </c>
      <c r="E34" s="143">
        <f t="shared" si="2"/>
        <v>188</v>
      </c>
      <c r="F34" s="138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v>188</v>
      </c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137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s="2" customFormat="1" x14ac:dyDescent="0.25">
      <c r="A35" s="147">
        <v>44351</v>
      </c>
      <c r="B35" s="18" t="s">
        <v>202</v>
      </c>
      <c r="C35" s="18"/>
      <c r="D35" s="148" t="s">
        <v>175</v>
      </c>
      <c r="E35" s="143">
        <f t="shared" si="2"/>
        <v>25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137"/>
      <c r="AD35" s="30"/>
      <c r="AE35" s="30"/>
      <c r="AF35" s="30"/>
      <c r="AG35" s="30"/>
      <c r="AH35" s="30"/>
      <c r="AI35" s="30">
        <v>25</v>
      </c>
      <c r="AJ35" s="30"/>
      <c r="AK35" s="30"/>
      <c r="AL35" s="30"/>
      <c r="AM35" s="30"/>
      <c r="AN35" s="30"/>
      <c r="AO35" s="30"/>
      <c r="AP35" s="30"/>
    </row>
    <row r="36" spans="1:42" s="2" customFormat="1" x14ac:dyDescent="0.25">
      <c r="A36" s="147">
        <v>44368</v>
      </c>
      <c r="B36" s="30" t="s">
        <v>203</v>
      </c>
      <c r="C36" s="30"/>
      <c r="D36" s="136" t="s">
        <v>175</v>
      </c>
      <c r="E36" s="135">
        <f t="shared" si="1"/>
        <v>21.6</v>
      </c>
      <c r="F36" s="10" t="s">
        <v>177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>
        <v>18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137"/>
      <c r="AD36" s="30"/>
      <c r="AE36" s="30"/>
      <c r="AF36" s="30">
        <v>3.6</v>
      </c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s="122" customFormat="1" x14ac:dyDescent="0.25">
      <c r="A37" s="147">
        <v>44390</v>
      </c>
      <c r="B37" s="97" t="s">
        <v>114</v>
      </c>
      <c r="C37" s="2"/>
      <c r="D37" s="21" t="s">
        <v>175</v>
      </c>
      <c r="E37" s="143">
        <f t="shared" ref="E37" si="3">SUM(F37:AO37)</f>
        <v>4.8</v>
      </c>
      <c r="F37" s="145" t="s">
        <v>178</v>
      </c>
      <c r="G37" s="10"/>
      <c r="H37" s="143"/>
      <c r="I37" s="10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>
        <v>4</v>
      </c>
      <c r="AA37" s="11"/>
      <c r="AB37" s="11"/>
      <c r="AC37" s="142"/>
      <c r="AD37" s="11"/>
      <c r="AE37" s="11"/>
      <c r="AF37" s="11">
        <v>0.8</v>
      </c>
      <c r="AG37" s="11"/>
      <c r="AH37" s="6"/>
      <c r="AI37" s="6"/>
      <c r="AJ37" s="6"/>
      <c r="AK37" s="6"/>
      <c r="AL37" s="6"/>
      <c r="AM37" s="6"/>
      <c r="AN37" s="6"/>
      <c r="AO37" s="6"/>
      <c r="AP37" s="6"/>
    </row>
    <row r="38" spans="1:42" s="122" customFormat="1" x14ac:dyDescent="0.25">
      <c r="A38" s="147">
        <v>44390</v>
      </c>
      <c r="B38" s="29" t="s">
        <v>156</v>
      </c>
      <c r="C38" s="30"/>
      <c r="D38" s="19" t="s">
        <v>175</v>
      </c>
      <c r="E38" s="26">
        <f t="shared" si="1"/>
        <v>1146</v>
      </c>
      <c r="F38" s="53"/>
      <c r="G38" s="29"/>
      <c r="H38" s="29"/>
      <c r="I38" s="29">
        <f>240/1.2</f>
        <v>200</v>
      </c>
      <c r="J38" s="29"/>
      <c r="K38" s="29"/>
      <c r="L38" s="29"/>
      <c r="M38" s="29"/>
      <c r="N38" s="29"/>
      <c r="O38" s="29"/>
      <c r="P38" s="29">
        <f>906/1.2</f>
        <v>755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7"/>
      <c r="AD38" s="29"/>
      <c r="AE38" s="29"/>
      <c r="AF38" s="29">
        <f>1146*20/120</f>
        <v>191</v>
      </c>
      <c r="AG38" s="29"/>
      <c r="AH38" s="29"/>
      <c r="AI38" s="29"/>
      <c r="AJ38" s="29"/>
      <c r="AK38" s="29"/>
      <c r="AL38" s="29"/>
      <c r="AM38" s="29"/>
      <c r="AN38" s="29"/>
      <c r="AO38" s="29"/>
      <c r="AP38" s="29"/>
    </row>
    <row r="39" spans="1:42" s="122" customFormat="1" x14ac:dyDescent="0.25">
      <c r="A39" s="147">
        <v>44390</v>
      </c>
      <c r="B39" s="29" t="s">
        <v>89</v>
      </c>
      <c r="C39" s="30"/>
      <c r="D39" s="19" t="s">
        <v>175</v>
      </c>
      <c r="E39" s="26">
        <f t="shared" si="1"/>
        <v>120</v>
      </c>
      <c r="F39" s="53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>
        <v>100</v>
      </c>
      <c r="W39" s="29"/>
      <c r="X39" s="29"/>
      <c r="Y39" s="29"/>
      <c r="Z39" s="29"/>
      <c r="AA39" s="29"/>
      <c r="AB39" s="29"/>
      <c r="AC39" s="27"/>
      <c r="AD39" s="29"/>
      <c r="AE39" s="29"/>
      <c r="AF39" s="29">
        <v>20</v>
      </c>
      <c r="AG39" s="29"/>
      <c r="AH39" s="29"/>
      <c r="AI39" s="29"/>
      <c r="AJ39" s="29"/>
      <c r="AK39" s="29"/>
      <c r="AL39" s="29"/>
      <c r="AM39" s="29"/>
      <c r="AN39" s="29"/>
      <c r="AO39" s="29"/>
      <c r="AP39" s="29"/>
    </row>
    <row r="40" spans="1:42" s="122" customFormat="1" x14ac:dyDescent="0.25">
      <c r="A40" s="28">
        <v>44400</v>
      </c>
      <c r="B40" s="29" t="s">
        <v>204</v>
      </c>
      <c r="C40" s="30"/>
      <c r="D40" s="19" t="s">
        <v>175</v>
      </c>
      <c r="E40" s="26">
        <f t="shared" si="1"/>
        <v>100</v>
      </c>
      <c r="F40" s="53"/>
      <c r="G40" s="29">
        <v>100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7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</row>
    <row r="41" spans="1:42" s="122" customFormat="1" x14ac:dyDescent="0.25">
      <c r="A41" s="28">
        <v>44400</v>
      </c>
      <c r="B41" s="29" t="s">
        <v>205</v>
      </c>
      <c r="C41" s="30"/>
      <c r="D41" s="19" t="s">
        <v>175</v>
      </c>
      <c r="E41" s="26">
        <f t="shared" si="1"/>
        <v>100</v>
      </c>
      <c r="G41" s="29">
        <v>100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7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</row>
    <row r="42" spans="1:42" s="10" customFormat="1" x14ac:dyDescent="0.25">
      <c r="A42" s="150">
        <v>44400</v>
      </c>
      <c r="B42" s="9" t="s">
        <v>206</v>
      </c>
      <c r="C42" s="18"/>
      <c r="D42" s="151" t="s">
        <v>175</v>
      </c>
      <c r="E42" s="143">
        <f t="shared" si="1"/>
        <v>412.73166666666668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142"/>
      <c r="AD42" s="9"/>
      <c r="AE42" s="9"/>
      <c r="AF42" s="9">
        <v>68.790000000000006</v>
      </c>
      <c r="AG42" s="9"/>
      <c r="AH42" s="9"/>
      <c r="AI42" s="9"/>
      <c r="AJ42" s="9"/>
      <c r="AK42" s="9">
        <f>412.73*100/120</f>
        <v>343.94166666666666</v>
      </c>
      <c r="AL42" s="9"/>
      <c r="AM42" s="9"/>
      <c r="AN42" s="9"/>
      <c r="AO42" s="9"/>
      <c r="AP42" s="9"/>
    </row>
    <row r="43" spans="1:42" s="156" customFormat="1" x14ac:dyDescent="0.25">
      <c r="A43" s="150">
        <v>44418</v>
      </c>
      <c r="B43" s="9" t="s">
        <v>221</v>
      </c>
      <c r="C43" s="18"/>
      <c r="D43" s="151" t="s">
        <v>175</v>
      </c>
      <c r="E43" s="143">
        <f t="shared" si="1"/>
        <v>45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>
        <v>45</v>
      </c>
      <c r="V43" s="9"/>
      <c r="W43" s="9"/>
      <c r="X43" s="9"/>
      <c r="Y43" s="9"/>
      <c r="Z43" s="9"/>
      <c r="AA43" s="9"/>
      <c r="AB43" s="9"/>
      <c r="AC43" s="142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s="156" customFormat="1" x14ac:dyDescent="0.25">
      <c r="A44" s="150">
        <v>44418</v>
      </c>
      <c r="B44" s="97" t="s">
        <v>114</v>
      </c>
      <c r="C44" s="2"/>
      <c r="D44" s="21" t="s">
        <v>175</v>
      </c>
      <c r="E44" s="143">
        <f t="shared" si="1"/>
        <v>4.8</v>
      </c>
      <c r="F44" s="145" t="s">
        <v>178</v>
      </c>
      <c r="H44" s="143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>
        <v>4</v>
      </c>
      <c r="AA44" s="157"/>
      <c r="AB44" s="157"/>
      <c r="AC44" s="142"/>
      <c r="AD44" s="157"/>
      <c r="AE44" s="157"/>
      <c r="AF44" s="157">
        <v>0.8</v>
      </c>
      <c r="AG44" s="157"/>
      <c r="AH44" s="154"/>
      <c r="AI44" s="154"/>
      <c r="AJ44" s="154"/>
      <c r="AK44" s="154"/>
      <c r="AL44" s="154"/>
      <c r="AM44" s="154"/>
      <c r="AN44" s="154"/>
      <c r="AO44" s="154"/>
      <c r="AP44" s="9"/>
    </row>
    <row r="45" spans="1:42" s="156" customFormat="1" x14ac:dyDescent="0.25">
      <c r="A45" s="150">
        <v>44419</v>
      </c>
      <c r="B45" s="9" t="s">
        <v>222</v>
      </c>
      <c r="C45" s="18"/>
      <c r="D45" s="151" t="s">
        <v>175</v>
      </c>
      <c r="E45" s="143">
        <f t="shared" si="1"/>
        <v>1962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142"/>
      <c r="AD45" s="9"/>
      <c r="AE45" s="9"/>
      <c r="AF45" s="9">
        <v>327</v>
      </c>
      <c r="AG45" s="9"/>
      <c r="AH45" s="9"/>
      <c r="AI45" s="9"/>
      <c r="AJ45" s="9"/>
      <c r="AK45" s="9">
        <v>1635</v>
      </c>
      <c r="AL45" s="9"/>
      <c r="AM45" s="9"/>
      <c r="AN45" s="9"/>
      <c r="AO45" s="9"/>
      <c r="AP45" s="9"/>
    </row>
    <row r="46" spans="1:42" s="122" customFormat="1" x14ac:dyDescent="0.25">
      <c r="A46" s="28">
        <v>44419</v>
      </c>
      <c r="B46" s="9" t="s">
        <v>223</v>
      </c>
      <c r="C46" s="30"/>
      <c r="D46" s="151" t="s">
        <v>175</v>
      </c>
      <c r="E46" s="143">
        <f t="shared" si="1"/>
        <v>190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7"/>
      <c r="AD46" s="29"/>
      <c r="AE46" s="29"/>
      <c r="AF46" s="29"/>
      <c r="AG46" s="29"/>
      <c r="AH46" s="29"/>
      <c r="AI46" s="29"/>
      <c r="AJ46" s="29"/>
      <c r="AK46" s="29">
        <v>190</v>
      </c>
      <c r="AL46" s="29"/>
      <c r="AM46" s="29"/>
      <c r="AN46" s="29"/>
      <c r="AO46" s="29"/>
      <c r="AP46" s="29"/>
    </row>
    <row r="47" spans="1:42" s="122" customFormat="1" x14ac:dyDescent="0.25">
      <c r="A47" s="28">
        <v>44428</v>
      </c>
      <c r="B47" s="9" t="s">
        <v>224</v>
      </c>
      <c r="C47" s="30"/>
      <c r="D47" s="151" t="s">
        <v>175</v>
      </c>
      <c r="E47" s="143">
        <f t="shared" si="1"/>
        <v>545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>
        <v>454.17</v>
      </c>
      <c r="Y47" s="29"/>
      <c r="Z47" s="29"/>
      <c r="AA47" s="29"/>
      <c r="AB47" s="29"/>
      <c r="AC47" s="27"/>
      <c r="AD47" s="29"/>
      <c r="AE47" s="29"/>
      <c r="AF47" s="29">
        <v>90.83</v>
      </c>
      <c r="AG47" s="29"/>
      <c r="AH47" s="29"/>
      <c r="AI47" s="29"/>
      <c r="AJ47" s="29"/>
      <c r="AK47" s="29"/>
      <c r="AL47" s="29"/>
      <c r="AM47" s="29"/>
      <c r="AN47" s="29"/>
      <c r="AO47" s="29"/>
      <c r="AP47" s="29"/>
    </row>
    <row r="48" spans="1:42" s="153" customFormat="1" x14ac:dyDescent="0.25">
      <c r="A48" s="150">
        <v>44448</v>
      </c>
      <c r="B48" s="9" t="s">
        <v>229</v>
      </c>
      <c r="C48" s="30"/>
      <c r="D48" s="142" t="s">
        <v>200</v>
      </c>
      <c r="E48" s="143">
        <f t="shared" si="1"/>
        <v>19.2</v>
      </c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>
        <v>16</v>
      </c>
      <c r="Y48" s="160"/>
      <c r="Z48" s="160"/>
      <c r="AA48" s="160"/>
      <c r="AB48" s="160"/>
      <c r="AC48" s="159"/>
      <c r="AD48" s="160"/>
      <c r="AE48" s="160"/>
      <c r="AF48" s="160">
        <v>3.2</v>
      </c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</row>
    <row r="49" spans="1:42" s="153" customFormat="1" x14ac:dyDescent="0.25">
      <c r="A49" s="150">
        <v>44453</v>
      </c>
      <c r="B49" s="9" t="s">
        <v>230</v>
      </c>
      <c r="C49" s="30"/>
      <c r="D49" s="151" t="s">
        <v>175</v>
      </c>
      <c r="E49" s="143">
        <f t="shared" si="1"/>
        <v>360</v>
      </c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>
        <v>300</v>
      </c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59"/>
      <c r="AD49" s="160"/>
      <c r="AE49" s="160"/>
      <c r="AF49" s="160">
        <v>60</v>
      </c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</row>
    <row r="50" spans="1:42" s="153" customFormat="1" x14ac:dyDescent="0.25">
      <c r="A50" s="150">
        <v>44453</v>
      </c>
      <c r="B50" s="9" t="s">
        <v>231</v>
      </c>
      <c r="C50" s="30"/>
      <c r="D50" s="151" t="s">
        <v>175</v>
      </c>
      <c r="E50" s="143">
        <f t="shared" si="1"/>
        <v>1020</v>
      </c>
      <c r="G50" s="160"/>
      <c r="H50" s="160"/>
      <c r="I50" s="160">
        <v>200</v>
      </c>
      <c r="J50" s="160"/>
      <c r="K50" s="160"/>
      <c r="L50" s="160"/>
      <c r="M50" s="160"/>
      <c r="N50" s="160"/>
      <c r="O50" s="160"/>
      <c r="P50" s="160">
        <v>650</v>
      </c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59"/>
      <c r="AD50" s="160"/>
      <c r="AE50" s="160"/>
      <c r="AF50" s="160">
        <f>850*0.2</f>
        <v>170</v>
      </c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</row>
    <row r="51" spans="1:42" s="153" customFormat="1" x14ac:dyDescent="0.25">
      <c r="A51" s="150">
        <v>44453</v>
      </c>
      <c r="B51" s="9" t="s">
        <v>114</v>
      </c>
      <c r="C51" s="30"/>
      <c r="D51" s="151" t="s">
        <v>175</v>
      </c>
      <c r="E51" s="143">
        <f t="shared" si="1"/>
        <v>4.8</v>
      </c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57">
        <v>4</v>
      </c>
      <c r="AA51" s="157"/>
      <c r="AB51" s="157"/>
      <c r="AC51" s="142"/>
      <c r="AD51" s="157"/>
      <c r="AE51" s="157"/>
      <c r="AF51" s="157">
        <v>0.8</v>
      </c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</row>
    <row r="52" spans="1:42" s="122" customFormat="1" x14ac:dyDescent="0.25">
      <c r="A52" s="150">
        <v>44453</v>
      </c>
      <c r="B52" s="9" t="s">
        <v>232</v>
      </c>
      <c r="C52" s="30"/>
      <c r="D52" s="151" t="s">
        <v>175</v>
      </c>
      <c r="E52" s="143">
        <f t="shared" si="1"/>
        <v>2201.9899999999998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>
        <f>74.99+1760</f>
        <v>1834.99</v>
      </c>
      <c r="AA52" s="29"/>
      <c r="AB52" s="29"/>
      <c r="AC52" s="27"/>
      <c r="AD52" s="29"/>
      <c r="AE52" s="29"/>
      <c r="AF52" s="29">
        <f>15+(2112*20/120)</f>
        <v>367</v>
      </c>
      <c r="AG52" s="29"/>
      <c r="AH52" s="29"/>
      <c r="AI52" s="29"/>
      <c r="AJ52" s="29"/>
      <c r="AK52" s="29"/>
      <c r="AL52" s="29"/>
      <c r="AM52" s="29"/>
      <c r="AN52" s="29"/>
      <c r="AO52" s="29"/>
      <c r="AP52" s="29"/>
    </row>
    <row r="53" spans="1:42" s="153" customFormat="1" x14ac:dyDescent="0.25">
      <c r="A53" s="150">
        <v>44454</v>
      </c>
      <c r="B53" s="9" t="s">
        <v>233</v>
      </c>
      <c r="C53" s="30"/>
      <c r="D53" s="142" t="s">
        <v>200</v>
      </c>
      <c r="E53" s="26">
        <f t="shared" ref="E53:E73" si="4">SUM(F53:AO53)</f>
        <v>35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>
        <v>35</v>
      </c>
      <c r="Y53" s="160"/>
      <c r="Z53" s="160"/>
      <c r="AA53" s="160"/>
      <c r="AB53" s="160"/>
      <c r="AC53" s="159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</row>
    <row r="54" spans="1:42" s="153" customFormat="1" x14ac:dyDescent="0.25">
      <c r="A54" s="150">
        <v>44476</v>
      </c>
      <c r="B54" s="9" t="s">
        <v>238</v>
      </c>
      <c r="C54" s="30"/>
      <c r="D54" s="142" t="s">
        <v>200</v>
      </c>
      <c r="E54" s="26">
        <f t="shared" si="4"/>
        <v>19.2</v>
      </c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>
        <v>16</v>
      </c>
      <c r="Y54" s="160"/>
      <c r="Z54" s="160"/>
      <c r="AA54" s="160"/>
      <c r="AB54" s="160"/>
      <c r="AC54" s="159"/>
      <c r="AD54" s="160"/>
      <c r="AE54" s="160"/>
      <c r="AF54" s="160">
        <v>3.2</v>
      </c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</row>
    <row r="55" spans="1:42" s="153" customFormat="1" x14ac:dyDescent="0.25">
      <c r="A55" s="150">
        <v>44481</v>
      </c>
      <c r="B55" s="9" t="s">
        <v>239</v>
      </c>
      <c r="C55" s="30"/>
      <c r="D55" s="151" t="s">
        <v>175</v>
      </c>
      <c r="E55" s="26">
        <f t="shared" si="4"/>
        <v>51.99</v>
      </c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>
        <v>51.99</v>
      </c>
      <c r="Y55" s="160"/>
      <c r="Z55" s="160"/>
      <c r="AA55" s="160"/>
      <c r="AB55" s="160"/>
      <c r="AC55" s="159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</row>
    <row r="56" spans="1:42" s="153" customFormat="1" x14ac:dyDescent="0.25">
      <c r="A56" s="150">
        <v>44481</v>
      </c>
      <c r="B56" s="9" t="s">
        <v>240</v>
      </c>
      <c r="C56" s="30"/>
      <c r="D56" s="151" t="s">
        <v>175</v>
      </c>
      <c r="E56" s="26">
        <f t="shared" si="4"/>
        <v>64.8</v>
      </c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>
        <v>54</v>
      </c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59"/>
      <c r="AD56" s="160"/>
      <c r="AE56" s="160"/>
      <c r="AF56" s="160">
        <v>10.8</v>
      </c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</row>
    <row r="57" spans="1:42" s="153" customFormat="1" x14ac:dyDescent="0.25">
      <c r="A57" s="150">
        <v>44481</v>
      </c>
      <c r="B57" s="9" t="s">
        <v>114</v>
      </c>
      <c r="C57" s="30"/>
      <c r="D57" s="151" t="s">
        <v>175</v>
      </c>
      <c r="E57" s="26">
        <f t="shared" si="4"/>
        <v>4.8</v>
      </c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57">
        <v>4</v>
      </c>
      <c r="AA57" s="157"/>
      <c r="AB57" s="157"/>
      <c r="AC57" s="142"/>
      <c r="AD57" s="157"/>
      <c r="AE57" s="157"/>
      <c r="AF57" s="157">
        <v>0.8</v>
      </c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</row>
    <row r="58" spans="1:42" s="153" customFormat="1" x14ac:dyDescent="0.25">
      <c r="A58" s="150">
        <v>44481</v>
      </c>
      <c r="B58" s="9" t="s">
        <v>231</v>
      </c>
      <c r="C58" s="30"/>
      <c r="D58" s="151" t="s">
        <v>175</v>
      </c>
      <c r="E58" s="26">
        <f t="shared" si="4"/>
        <v>312</v>
      </c>
      <c r="G58" s="160"/>
      <c r="H58" s="160"/>
      <c r="I58" s="160"/>
      <c r="J58" s="160"/>
      <c r="K58" s="160"/>
      <c r="L58" s="160"/>
      <c r="M58" s="160"/>
      <c r="N58" s="160"/>
      <c r="O58" s="160"/>
      <c r="P58" s="160">
        <v>260</v>
      </c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59"/>
      <c r="AD58" s="160"/>
      <c r="AE58" s="160"/>
      <c r="AF58" s="160">
        <v>52</v>
      </c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</row>
    <row r="59" spans="1:42" s="153" customFormat="1" x14ac:dyDescent="0.25">
      <c r="A59" s="150">
        <v>44481</v>
      </c>
      <c r="B59" s="9" t="s">
        <v>241</v>
      </c>
      <c r="C59" s="30"/>
      <c r="D59" s="151" t="s">
        <v>175</v>
      </c>
      <c r="E59" s="26">
        <f t="shared" si="4"/>
        <v>250</v>
      </c>
      <c r="G59" s="160"/>
      <c r="H59" s="160"/>
      <c r="I59" s="160"/>
      <c r="J59" s="160"/>
      <c r="K59" s="160"/>
      <c r="L59" s="160">
        <v>250</v>
      </c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59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</row>
    <row r="60" spans="1:42" s="153" customFormat="1" x14ac:dyDescent="0.25">
      <c r="A60" s="150">
        <v>44496</v>
      </c>
      <c r="B60" s="9" t="s">
        <v>242</v>
      </c>
      <c r="C60" s="30"/>
      <c r="D60" s="151" t="s">
        <v>175</v>
      </c>
      <c r="E60" s="26">
        <f t="shared" si="4"/>
        <v>100</v>
      </c>
      <c r="G60" s="160">
        <v>100</v>
      </c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59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</row>
    <row r="61" spans="1:42" s="156" customFormat="1" x14ac:dyDescent="0.25">
      <c r="A61" s="150">
        <v>44497</v>
      </c>
      <c r="B61" s="9" t="s">
        <v>243</v>
      </c>
      <c r="C61" s="18"/>
      <c r="D61" s="151" t="s">
        <v>175</v>
      </c>
      <c r="E61" s="143">
        <f t="shared" si="4"/>
        <v>41.4</v>
      </c>
      <c r="G61" s="9"/>
      <c r="H61" s="9"/>
      <c r="I61" s="9"/>
      <c r="J61" s="9"/>
      <c r="K61" s="9"/>
      <c r="L61" s="9"/>
      <c r="M61" s="9">
        <v>34.5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142"/>
      <c r="AD61" s="9"/>
      <c r="AE61" s="9"/>
      <c r="AF61" s="9">
        <v>6.9</v>
      </c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s="153" customFormat="1" x14ac:dyDescent="0.25">
      <c r="A62" s="150">
        <v>44508</v>
      </c>
      <c r="B62" s="9" t="s">
        <v>238</v>
      </c>
      <c r="C62" s="30"/>
      <c r="D62" s="19" t="s">
        <v>200</v>
      </c>
      <c r="E62" s="172">
        <f t="shared" ref="E62:E70" si="5">SUM(F62:AO62)</f>
        <v>19.2</v>
      </c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>
        <v>16</v>
      </c>
      <c r="Y62" s="160"/>
      <c r="Z62" s="160"/>
      <c r="AA62" s="160"/>
      <c r="AB62" s="160"/>
      <c r="AC62" s="159"/>
      <c r="AD62" s="160"/>
      <c r="AE62" s="160"/>
      <c r="AF62" s="160">
        <v>3.2</v>
      </c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</row>
    <row r="63" spans="1:42" s="153" customFormat="1" x14ac:dyDescent="0.25">
      <c r="A63" s="150">
        <v>44509</v>
      </c>
      <c r="B63" s="9" t="s">
        <v>246</v>
      </c>
      <c r="C63" s="30"/>
      <c r="D63" s="151" t="s">
        <v>175</v>
      </c>
      <c r="E63" s="172">
        <f t="shared" si="5"/>
        <v>100</v>
      </c>
      <c r="G63" s="160">
        <v>100</v>
      </c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59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</row>
    <row r="64" spans="1:42" s="153" customFormat="1" x14ac:dyDescent="0.25">
      <c r="A64" s="150">
        <v>44509</v>
      </c>
      <c r="B64" s="9" t="s">
        <v>174</v>
      </c>
      <c r="C64" s="30"/>
      <c r="D64" s="151" t="s">
        <v>175</v>
      </c>
      <c r="E64" s="172">
        <f t="shared" si="5"/>
        <v>1500</v>
      </c>
      <c r="G64" s="160"/>
      <c r="H64" s="160">
        <v>1500</v>
      </c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59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</row>
    <row r="65" spans="1:42" s="153" customFormat="1" x14ac:dyDescent="0.25">
      <c r="A65" s="150">
        <v>44509</v>
      </c>
      <c r="B65" s="9" t="s">
        <v>231</v>
      </c>
      <c r="C65" s="30"/>
      <c r="D65" s="151" t="s">
        <v>175</v>
      </c>
      <c r="E65" s="172">
        <f t="shared" si="5"/>
        <v>438</v>
      </c>
      <c r="G65" s="160"/>
      <c r="H65" s="160"/>
      <c r="I65" s="160"/>
      <c r="J65" s="160"/>
      <c r="K65" s="160"/>
      <c r="L65" s="160"/>
      <c r="M65" s="160"/>
      <c r="N65" s="160"/>
      <c r="O65" s="160"/>
      <c r="P65" s="160">
        <f>130+105+130</f>
        <v>365</v>
      </c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59"/>
      <c r="AD65" s="160"/>
      <c r="AE65" s="160"/>
      <c r="AF65" s="160">
        <f>47+26</f>
        <v>73</v>
      </c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</row>
    <row r="66" spans="1:42" s="153" customFormat="1" x14ac:dyDescent="0.25">
      <c r="A66" s="150">
        <v>44509</v>
      </c>
      <c r="B66" s="9" t="s">
        <v>203</v>
      </c>
      <c r="C66" s="30"/>
      <c r="D66" s="151" t="s">
        <v>175</v>
      </c>
      <c r="E66" s="172">
        <f t="shared" si="5"/>
        <v>43.2</v>
      </c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>
        <v>36</v>
      </c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59"/>
      <c r="AD66" s="160"/>
      <c r="AE66" s="160"/>
      <c r="AF66" s="160">
        <v>7.2</v>
      </c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</row>
    <row r="67" spans="1:42" s="153" customFormat="1" x14ac:dyDescent="0.25">
      <c r="A67" s="150">
        <v>44509</v>
      </c>
      <c r="B67" s="9" t="s">
        <v>114</v>
      </c>
      <c r="C67" s="30"/>
      <c r="D67" s="151" t="s">
        <v>175</v>
      </c>
      <c r="E67" s="172">
        <f t="shared" si="5"/>
        <v>4.8</v>
      </c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>
        <v>4</v>
      </c>
      <c r="AA67" s="160"/>
      <c r="AB67" s="160"/>
      <c r="AC67" s="159"/>
      <c r="AD67" s="160"/>
      <c r="AE67" s="160"/>
      <c r="AF67" s="160">
        <v>0.8</v>
      </c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</row>
    <row r="68" spans="1:42" s="153" customFormat="1" x14ac:dyDescent="0.25">
      <c r="A68" s="150">
        <v>44509</v>
      </c>
      <c r="B68" s="9" t="s">
        <v>160</v>
      </c>
      <c r="C68" s="30"/>
      <c r="D68" s="151" t="s">
        <v>175</v>
      </c>
      <c r="E68" s="172">
        <f t="shared" si="5"/>
        <v>990</v>
      </c>
      <c r="G68" s="160"/>
      <c r="H68" s="160"/>
      <c r="I68" s="160"/>
      <c r="J68" s="160"/>
      <c r="K68" s="160"/>
      <c r="L68" s="160"/>
      <c r="M68" s="160">
        <v>825</v>
      </c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59"/>
      <c r="AD68" s="160"/>
      <c r="AE68" s="160"/>
      <c r="AF68" s="160">
        <v>165</v>
      </c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</row>
    <row r="69" spans="1:42" s="153" customFormat="1" x14ac:dyDescent="0.25">
      <c r="A69" s="150">
        <v>44509</v>
      </c>
      <c r="B69" s="9" t="s">
        <v>247</v>
      </c>
      <c r="C69" s="30"/>
      <c r="D69" s="151" t="s">
        <v>175</v>
      </c>
      <c r="E69" s="172">
        <f t="shared" si="5"/>
        <v>26.46</v>
      </c>
      <c r="G69" s="160"/>
      <c r="H69" s="160"/>
      <c r="I69" s="160"/>
      <c r="J69" s="160">
        <v>26.46</v>
      </c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59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</row>
    <row r="70" spans="1:42" s="153" customFormat="1" x14ac:dyDescent="0.25">
      <c r="A70" s="150">
        <v>44509</v>
      </c>
      <c r="B70" s="9" t="s">
        <v>248</v>
      </c>
      <c r="C70" s="30"/>
      <c r="D70" s="151" t="s">
        <v>175</v>
      </c>
      <c r="E70" s="172">
        <f t="shared" si="5"/>
        <v>100</v>
      </c>
      <c r="G70" s="160">
        <v>100</v>
      </c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59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</row>
    <row r="71" spans="1:42" s="153" customFormat="1" x14ac:dyDescent="0.25">
      <c r="A71" s="150">
        <v>44530</v>
      </c>
      <c r="B71" s="9" t="s">
        <v>132</v>
      </c>
      <c r="C71" s="30"/>
      <c r="D71" s="19" t="s">
        <v>200</v>
      </c>
      <c r="E71" s="26">
        <f t="shared" si="4"/>
        <v>1315.22</v>
      </c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59">
        <v>1315.22</v>
      </c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</row>
    <row r="72" spans="1:42" s="153" customFormat="1" x14ac:dyDescent="0.25">
      <c r="A72" s="150"/>
      <c r="B72" s="9"/>
      <c r="C72" s="30"/>
      <c r="D72" s="19"/>
      <c r="E72" s="26">
        <f t="shared" si="4"/>
        <v>0</v>
      </c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59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</row>
    <row r="73" spans="1:42" s="153" customFormat="1" x14ac:dyDescent="0.25">
      <c r="A73" s="150"/>
      <c r="B73" s="9"/>
      <c r="C73" s="30"/>
      <c r="D73" s="19"/>
      <c r="E73" s="26">
        <f t="shared" si="4"/>
        <v>0</v>
      </c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59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</row>
    <row r="74" spans="1:42" s="122" customFormat="1" x14ac:dyDescent="0.25">
      <c r="A74" s="150"/>
      <c r="B74" s="9"/>
      <c r="C74" s="30"/>
      <c r="D74" s="19"/>
      <c r="E74" s="26">
        <f t="shared" si="1"/>
        <v>0</v>
      </c>
      <c r="F74" s="26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7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</row>
    <row r="75" spans="1:42" x14ac:dyDescent="0.25">
      <c r="A75" s="13"/>
      <c r="B75" s="6"/>
      <c r="C75" s="8"/>
      <c r="D75" s="21"/>
      <c r="E75" s="31">
        <f>SUM(E8:E74)</f>
        <v>23363.781666666666</v>
      </c>
      <c r="F75" s="31"/>
      <c r="G75" s="31">
        <f t="shared" ref="G75:AO75" si="6">SUM(G8:G74)</f>
        <v>500</v>
      </c>
      <c r="H75" s="31">
        <f t="shared" si="6"/>
        <v>1500</v>
      </c>
      <c r="I75" s="31">
        <f t="shared" si="6"/>
        <v>1050</v>
      </c>
      <c r="J75" s="31">
        <f t="shared" si="6"/>
        <v>26.46</v>
      </c>
      <c r="K75" s="31">
        <f t="shared" si="6"/>
        <v>0</v>
      </c>
      <c r="L75" s="31">
        <f t="shared" si="6"/>
        <v>350</v>
      </c>
      <c r="M75" s="31">
        <f t="shared" si="6"/>
        <v>1753.08</v>
      </c>
      <c r="N75" s="31">
        <f t="shared" si="6"/>
        <v>0</v>
      </c>
      <c r="O75" s="31">
        <f t="shared" si="6"/>
        <v>0</v>
      </c>
      <c r="P75" s="31">
        <f t="shared" si="6"/>
        <v>2395</v>
      </c>
      <c r="Q75" s="31">
        <f t="shared" si="6"/>
        <v>148.19999999999999</v>
      </c>
      <c r="R75" s="31">
        <f t="shared" si="6"/>
        <v>488</v>
      </c>
      <c r="S75" s="31">
        <f t="shared" si="6"/>
        <v>2016</v>
      </c>
      <c r="T75" s="31">
        <f t="shared" si="6"/>
        <v>1096.3900000000001</v>
      </c>
      <c r="U75" s="31">
        <f t="shared" si="6"/>
        <v>171</v>
      </c>
      <c r="V75" s="31">
        <f t="shared" si="6"/>
        <v>100</v>
      </c>
      <c r="W75" s="31">
        <f t="shared" si="6"/>
        <v>46.620000000000005</v>
      </c>
      <c r="X75" s="31">
        <f t="shared" si="6"/>
        <v>712.36</v>
      </c>
      <c r="Y75" s="31">
        <f t="shared" si="6"/>
        <v>0</v>
      </c>
      <c r="Z75" s="31">
        <f t="shared" si="6"/>
        <v>1894.99</v>
      </c>
      <c r="AA75" s="31">
        <f t="shared" si="6"/>
        <v>0</v>
      </c>
      <c r="AB75" s="31">
        <f t="shared" si="6"/>
        <v>0</v>
      </c>
      <c r="AC75" s="31">
        <f t="shared" si="6"/>
        <v>2630.44</v>
      </c>
      <c r="AD75" s="31">
        <f t="shared" si="6"/>
        <v>0</v>
      </c>
      <c r="AE75" s="31">
        <f t="shared" si="6"/>
        <v>0</v>
      </c>
      <c r="AF75" s="31">
        <f t="shared" si="6"/>
        <v>2048.38</v>
      </c>
      <c r="AG75" s="31">
        <f t="shared" si="6"/>
        <v>0</v>
      </c>
      <c r="AH75" s="31">
        <f t="shared" si="6"/>
        <v>0</v>
      </c>
      <c r="AI75" s="31">
        <f t="shared" si="6"/>
        <v>25</v>
      </c>
      <c r="AJ75" s="31">
        <f t="shared" si="6"/>
        <v>1066.6199999999999</v>
      </c>
      <c r="AK75" s="31">
        <f t="shared" si="6"/>
        <v>2168.9416666666666</v>
      </c>
      <c r="AL75" s="31">
        <f t="shared" si="6"/>
        <v>0</v>
      </c>
      <c r="AM75" s="31">
        <f t="shared" si="6"/>
        <v>962.98</v>
      </c>
      <c r="AN75" s="31">
        <f t="shared" si="6"/>
        <v>0</v>
      </c>
      <c r="AO75" s="31">
        <f t="shared" si="6"/>
        <v>213.32</v>
      </c>
      <c r="AP75" s="6"/>
    </row>
    <row r="76" spans="1:42" x14ac:dyDescent="0.25">
      <c r="A76" s="13"/>
      <c r="B76" s="6"/>
      <c r="C76" s="8"/>
      <c r="D76" s="2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x14ac:dyDescent="0.25">
      <c r="A77" s="13"/>
      <c r="C77" s="8"/>
      <c r="D77" s="21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x14ac:dyDescent="0.25">
      <c r="A78" s="13"/>
      <c r="B78" s="6"/>
      <c r="C78" s="8"/>
      <c r="D78" s="2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x14ac:dyDescent="0.25">
      <c r="A79" s="13"/>
      <c r="B79" s="6"/>
      <c r="C79" s="8"/>
      <c r="D79" s="2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 x14ac:dyDescent="0.25">
      <c r="A80" s="13"/>
      <c r="B80" s="6"/>
      <c r="C80" s="8"/>
      <c r="D80" s="21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 x14ac:dyDescent="0.25">
      <c r="A81" s="13"/>
      <c r="C81" s="8"/>
      <c r="D81" s="21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 x14ac:dyDescent="0.25">
      <c r="A82" s="13"/>
      <c r="C82" s="8"/>
      <c r="D82" s="2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1:42" x14ac:dyDescent="0.25">
      <c r="A83" s="13"/>
      <c r="C83" s="8"/>
      <c r="D83" s="2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1:42" x14ac:dyDescent="0.25">
      <c r="A84" s="13"/>
      <c r="C84" s="8"/>
      <c r="D84" s="21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 x14ac:dyDescent="0.25">
      <c r="A85" s="13"/>
      <c r="C85" s="8"/>
      <c r="D85" s="21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 x14ac:dyDescent="0.25">
      <c r="A86" s="13"/>
      <c r="C86" s="8"/>
      <c r="D86" s="2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2" x14ac:dyDescent="0.25">
      <c r="A87" s="13"/>
      <c r="B87" s="6"/>
      <c r="C87" s="8"/>
      <c r="D87" s="21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 x14ac:dyDescent="0.25">
      <c r="A88" s="13"/>
      <c r="B88" s="6"/>
      <c r="C88" s="8"/>
      <c r="D88" s="21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1:42" x14ac:dyDescent="0.25">
      <c r="A89" s="13"/>
      <c r="B89" s="6"/>
      <c r="C89" s="8"/>
      <c r="D89" s="21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1:42" x14ac:dyDescent="0.25">
      <c r="A90" s="13"/>
      <c r="B90" s="6"/>
      <c r="C90" s="8"/>
      <c r="D90" s="21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1:42" x14ac:dyDescent="0.25">
      <c r="A91" s="13"/>
      <c r="B91" s="6"/>
      <c r="C91" s="8"/>
      <c r="D91" s="21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1:42" x14ac:dyDescent="0.25">
      <c r="A92" s="13"/>
      <c r="B92" s="6"/>
      <c r="C92" s="8"/>
      <c r="D92" s="21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</sheetData>
  <mergeCells count="5">
    <mergeCell ref="H6:Q6"/>
    <mergeCell ref="R6:S6"/>
    <mergeCell ref="T6:AC6"/>
    <mergeCell ref="AG6:AH6"/>
    <mergeCell ref="AL6:AM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85597-DD35-4383-A006-2A921D446045}">
  <dimension ref="A3:O75"/>
  <sheetViews>
    <sheetView topLeftCell="A10" workbookViewId="0">
      <pane xSplit="2" ySplit="5" topLeftCell="C42" activePane="bottomRight" state="frozen"/>
      <selection activeCell="A10" sqref="A10"/>
      <selection pane="topRight" activeCell="C10" sqref="C10"/>
      <selection pane="bottomLeft" activeCell="A15" sqref="A15"/>
      <selection pane="bottomRight" activeCell="L53" sqref="L53"/>
    </sheetView>
  </sheetViews>
  <sheetFormatPr defaultRowHeight="15" x14ac:dyDescent="0.25"/>
  <cols>
    <col min="1" max="1" width="19.28515625" style="13" customWidth="1"/>
    <col min="2" max="2" width="10.7109375" style="13" bestFit="1" customWidth="1"/>
    <col min="3" max="3" width="26" bestFit="1" customWidth="1"/>
    <col min="4" max="4" width="14.5703125" customWidth="1"/>
    <col min="5" max="5" width="13.140625" style="6" customWidth="1"/>
    <col min="6" max="6" width="9.85546875" bestFit="1" customWidth="1"/>
    <col min="7" max="7" width="10.140625" style="6" bestFit="1" customWidth="1"/>
    <col min="10" max="10" width="18.28515625" customWidth="1"/>
    <col min="12" max="12" width="10.7109375" bestFit="1" customWidth="1"/>
    <col min="13" max="13" width="14.85546875" bestFit="1" customWidth="1"/>
  </cols>
  <sheetData>
    <row r="3" spans="1:15" s="49" customFormat="1" ht="21" x14ac:dyDescent="0.35">
      <c r="A3" s="82" t="s">
        <v>0</v>
      </c>
      <c r="B3" s="82"/>
      <c r="C3" s="55"/>
      <c r="D3" s="55"/>
      <c r="E3" s="83"/>
      <c r="G3" s="83"/>
    </row>
    <row r="4" spans="1:15" x14ac:dyDescent="0.25">
      <c r="C4" s="33"/>
    </row>
    <row r="5" spans="1:15" x14ac:dyDescent="0.25">
      <c r="A5" s="13" t="s">
        <v>151</v>
      </c>
      <c r="C5" s="33"/>
      <c r="L5" s="42"/>
      <c r="M5" s="6"/>
    </row>
    <row r="6" spans="1:15" x14ac:dyDescent="0.25">
      <c r="L6" s="50"/>
    </row>
    <row r="7" spans="1:15" s="7" customFormat="1" x14ac:dyDescent="0.25">
      <c r="A7" s="34"/>
      <c r="B7" s="34"/>
      <c r="E7" s="36"/>
      <c r="G7" s="36"/>
      <c r="L7" s="53"/>
      <c r="M7" s="53"/>
    </row>
    <row r="8" spans="1:15" x14ac:dyDescent="0.25">
      <c r="F8" s="6"/>
      <c r="H8" s="6"/>
      <c r="L8" s="46"/>
      <c r="M8" s="46"/>
    </row>
    <row r="9" spans="1:15" x14ac:dyDescent="0.25">
      <c r="F9" s="6"/>
      <c r="G9"/>
      <c r="H9" s="6"/>
    </row>
    <row r="10" spans="1:15" s="46" customFormat="1" x14ac:dyDescent="0.25">
      <c r="A10" s="115" t="s">
        <v>108</v>
      </c>
      <c r="B10" s="13"/>
      <c r="C10"/>
      <c r="D10" s="68"/>
      <c r="E10" s="6"/>
      <c r="F10" s="6"/>
      <c r="G10"/>
      <c r="H10"/>
      <c r="I10"/>
      <c r="J10"/>
      <c r="K10"/>
      <c r="L10"/>
      <c r="M10"/>
      <c r="N10"/>
      <c r="O10"/>
    </row>
    <row r="11" spans="1:15" x14ac:dyDescent="0.25">
      <c r="A11" s="116" t="s">
        <v>109</v>
      </c>
      <c r="F11" s="6"/>
      <c r="G11"/>
    </row>
    <row r="12" spans="1:15" x14ac:dyDescent="0.25">
      <c r="A12" s="28" t="s">
        <v>110</v>
      </c>
      <c r="B12" s="28"/>
      <c r="F12" s="6"/>
      <c r="G12"/>
    </row>
    <row r="13" spans="1:15" x14ac:dyDescent="0.25">
      <c r="A13" s="117" t="s">
        <v>119</v>
      </c>
      <c r="B13" s="121"/>
      <c r="C13" s="106"/>
      <c r="D13" s="106"/>
      <c r="E13" s="107"/>
      <c r="F13" s="107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5" s="112" customFormat="1" x14ac:dyDescent="0.25">
      <c r="A14" s="118" t="s">
        <v>122</v>
      </c>
      <c r="B14" s="118" t="s">
        <v>128</v>
      </c>
      <c r="C14" s="112" t="s">
        <v>123</v>
      </c>
      <c r="D14" s="112" t="s">
        <v>124</v>
      </c>
      <c r="E14" s="113" t="s">
        <v>125</v>
      </c>
      <c r="F14" s="113" t="s">
        <v>32</v>
      </c>
      <c r="G14" s="113" t="s">
        <v>126</v>
      </c>
      <c r="H14" s="114" t="s">
        <v>127</v>
      </c>
      <c r="J14" s="113" t="s">
        <v>105</v>
      </c>
    </row>
    <row r="15" spans="1:15" x14ac:dyDescent="0.25">
      <c r="A15" s="117"/>
      <c r="B15" s="121"/>
      <c r="C15" s="106"/>
      <c r="D15" s="106"/>
      <c r="E15" s="107"/>
      <c r="F15" s="107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15" x14ac:dyDescent="0.25">
      <c r="H16" s="6"/>
      <c r="I16" s="122"/>
    </row>
    <row r="17" spans="1:10" x14ac:dyDescent="0.25">
      <c r="H17" s="6"/>
      <c r="I17" s="122"/>
    </row>
    <row r="18" spans="1:10" x14ac:dyDescent="0.25">
      <c r="A18" s="13">
        <v>44236</v>
      </c>
      <c r="B18" s="13">
        <v>44211</v>
      </c>
      <c r="C18" t="s">
        <v>114</v>
      </c>
      <c r="D18" s="122">
        <v>718314640</v>
      </c>
      <c r="E18" s="6">
        <v>4.8</v>
      </c>
      <c r="F18">
        <v>0.8</v>
      </c>
      <c r="G18" s="6">
        <f t="shared" ref="G18:G46" si="0">SUM(E18-F18)</f>
        <v>4</v>
      </c>
      <c r="H18" s="6">
        <f t="shared" ref="H18:H46" si="1">E18/6</f>
        <v>0.79999999999999993</v>
      </c>
      <c r="I18" s="122" t="b">
        <f t="shared" ref="I18:I46" si="2">H18=F18</f>
        <v>1</v>
      </c>
      <c r="J18" s="122" t="s">
        <v>112</v>
      </c>
    </row>
    <row r="19" spans="1:10" x14ac:dyDescent="0.25">
      <c r="A19" s="13">
        <v>44236</v>
      </c>
      <c r="B19" s="13">
        <v>44215</v>
      </c>
      <c r="C19" t="s">
        <v>135</v>
      </c>
      <c r="D19" s="122">
        <v>206953796</v>
      </c>
      <c r="E19" s="6">
        <v>9.99</v>
      </c>
      <c r="F19">
        <v>1.67</v>
      </c>
      <c r="G19" s="6">
        <f t="shared" si="0"/>
        <v>8.32</v>
      </c>
      <c r="H19" s="6">
        <f t="shared" si="1"/>
        <v>1.665</v>
      </c>
      <c r="I19" s="122" t="b">
        <f t="shared" si="2"/>
        <v>0</v>
      </c>
      <c r="J19" s="122" t="s">
        <v>141</v>
      </c>
    </row>
    <row r="20" spans="1:10" x14ac:dyDescent="0.25">
      <c r="A20" s="13">
        <v>44236</v>
      </c>
      <c r="B20" s="13">
        <v>44213</v>
      </c>
      <c r="C20" t="s">
        <v>129</v>
      </c>
      <c r="D20" s="122">
        <v>569953277</v>
      </c>
      <c r="E20" s="6">
        <v>10.14</v>
      </c>
      <c r="F20">
        <v>1.69</v>
      </c>
      <c r="G20" s="6">
        <f t="shared" si="0"/>
        <v>8.4500000000000011</v>
      </c>
      <c r="H20" s="6">
        <f t="shared" si="1"/>
        <v>1.6900000000000002</v>
      </c>
      <c r="I20" s="122" t="b">
        <f t="shared" si="2"/>
        <v>1</v>
      </c>
      <c r="J20" s="122" t="s">
        <v>130</v>
      </c>
    </row>
    <row r="21" spans="1:10" x14ac:dyDescent="0.25">
      <c r="A21" s="13">
        <v>44236</v>
      </c>
      <c r="B21" s="13">
        <v>44217</v>
      </c>
      <c r="C21" t="s">
        <v>136</v>
      </c>
      <c r="D21" s="122">
        <v>186378167</v>
      </c>
      <c r="E21" s="6">
        <v>94.86</v>
      </c>
      <c r="F21">
        <v>15.81</v>
      </c>
      <c r="G21" s="6">
        <f t="shared" si="0"/>
        <v>79.05</v>
      </c>
      <c r="H21" s="6">
        <f t="shared" si="1"/>
        <v>15.81</v>
      </c>
      <c r="I21" s="122" t="b">
        <f t="shared" si="2"/>
        <v>1</v>
      </c>
      <c r="J21" s="122" t="s">
        <v>140</v>
      </c>
    </row>
    <row r="22" spans="1:10" x14ac:dyDescent="0.25">
      <c r="A22" s="13">
        <v>44236</v>
      </c>
      <c r="B22" s="13">
        <v>44209</v>
      </c>
      <c r="C22" t="s">
        <v>144</v>
      </c>
      <c r="D22">
        <v>303602159</v>
      </c>
      <c r="E22" s="6">
        <v>26.49</v>
      </c>
      <c r="F22">
        <v>4.41</v>
      </c>
      <c r="G22" s="6">
        <f t="shared" si="0"/>
        <v>22.08</v>
      </c>
      <c r="H22" s="6">
        <f t="shared" si="1"/>
        <v>4.415</v>
      </c>
      <c r="I22" s="122" t="b">
        <f t="shared" si="2"/>
        <v>0</v>
      </c>
      <c r="J22" t="s">
        <v>145</v>
      </c>
    </row>
    <row r="23" spans="1:10" x14ac:dyDescent="0.25">
      <c r="A23" s="13">
        <v>44265</v>
      </c>
      <c r="B23" s="13">
        <v>44211</v>
      </c>
      <c r="C23" t="s">
        <v>113</v>
      </c>
      <c r="D23" s="122">
        <v>195462827</v>
      </c>
      <c r="E23" s="6">
        <v>111.78</v>
      </c>
      <c r="F23">
        <v>18.63</v>
      </c>
      <c r="G23" s="6">
        <f t="shared" si="0"/>
        <v>93.15</v>
      </c>
      <c r="H23" s="6">
        <f t="shared" si="1"/>
        <v>18.63</v>
      </c>
      <c r="I23" s="122" t="b">
        <f t="shared" si="2"/>
        <v>1</v>
      </c>
      <c r="J23" t="s">
        <v>147</v>
      </c>
    </row>
    <row r="24" spans="1:10" x14ac:dyDescent="0.25">
      <c r="A24" s="13">
        <v>44265</v>
      </c>
      <c r="B24" s="13">
        <v>44242</v>
      </c>
      <c r="C24" t="s">
        <v>114</v>
      </c>
      <c r="D24" s="122">
        <v>718314640</v>
      </c>
      <c r="E24" s="6">
        <v>4.8</v>
      </c>
      <c r="F24">
        <v>0.8</v>
      </c>
      <c r="G24" s="6">
        <f t="shared" si="0"/>
        <v>4</v>
      </c>
      <c r="H24" s="6">
        <f t="shared" si="1"/>
        <v>0.79999999999999993</v>
      </c>
      <c r="I24" s="122" t="b">
        <f t="shared" si="2"/>
        <v>1</v>
      </c>
      <c r="J24" t="s">
        <v>112</v>
      </c>
    </row>
    <row r="25" spans="1:10" x14ac:dyDescent="0.25">
      <c r="A25" s="13">
        <v>44265</v>
      </c>
      <c r="B25" s="13">
        <v>44256</v>
      </c>
      <c r="C25" t="s">
        <v>89</v>
      </c>
      <c r="D25" s="122">
        <v>685644393</v>
      </c>
      <c r="E25" s="6">
        <v>149.13999999999999</v>
      </c>
      <c r="F25">
        <v>24.86</v>
      </c>
      <c r="G25" s="6">
        <f t="shared" si="0"/>
        <v>124.27999999999999</v>
      </c>
      <c r="H25" s="6">
        <f t="shared" si="1"/>
        <v>24.856666666666666</v>
      </c>
      <c r="I25" s="122" t="b">
        <f t="shared" si="2"/>
        <v>0</v>
      </c>
      <c r="J25" t="s">
        <v>111</v>
      </c>
    </row>
    <row r="26" spans="1:10" x14ac:dyDescent="0.25">
      <c r="A26" s="13">
        <v>44265</v>
      </c>
      <c r="B26" s="13">
        <v>44254</v>
      </c>
      <c r="C26" t="s">
        <v>129</v>
      </c>
      <c r="D26" s="122">
        <v>569953277</v>
      </c>
      <c r="E26" s="6">
        <v>10.14</v>
      </c>
      <c r="F26">
        <v>1.69</v>
      </c>
      <c r="G26" s="6">
        <f t="shared" si="0"/>
        <v>8.4500000000000011</v>
      </c>
      <c r="H26" s="6">
        <f t="shared" si="1"/>
        <v>1.6900000000000002</v>
      </c>
      <c r="I26" s="122" t="b">
        <f t="shared" si="2"/>
        <v>1</v>
      </c>
      <c r="J26" s="122" t="s">
        <v>130</v>
      </c>
    </row>
    <row r="27" spans="1:10" x14ac:dyDescent="0.25">
      <c r="A27" s="13">
        <v>44265</v>
      </c>
      <c r="B27" s="13">
        <v>44246</v>
      </c>
      <c r="C27" t="s">
        <v>135</v>
      </c>
      <c r="D27" s="122">
        <v>206953796</v>
      </c>
      <c r="E27" s="6">
        <v>9.99</v>
      </c>
      <c r="F27">
        <v>1.67</v>
      </c>
      <c r="G27" s="6">
        <f t="shared" si="0"/>
        <v>8.32</v>
      </c>
      <c r="H27" s="6">
        <f t="shared" si="1"/>
        <v>1.665</v>
      </c>
      <c r="I27" s="122" t="b">
        <f t="shared" si="2"/>
        <v>0</v>
      </c>
      <c r="J27" t="s">
        <v>141</v>
      </c>
    </row>
    <row r="28" spans="1:10" x14ac:dyDescent="0.25">
      <c r="A28" s="13">
        <v>44312</v>
      </c>
      <c r="B28" s="13">
        <v>44300</v>
      </c>
      <c r="C28" t="s">
        <v>114</v>
      </c>
      <c r="D28" s="122">
        <v>718314640</v>
      </c>
      <c r="E28" s="6">
        <v>4.8</v>
      </c>
      <c r="F28">
        <v>0.8</v>
      </c>
      <c r="G28" s="6">
        <f t="shared" si="0"/>
        <v>4</v>
      </c>
      <c r="H28" s="6">
        <f t="shared" si="1"/>
        <v>0.79999999999999993</v>
      </c>
      <c r="I28" t="b">
        <f t="shared" si="2"/>
        <v>1</v>
      </c>
      <c r="J28" s="122" t="s">
        <v>112</v>
      </c>
    </row>
    <row r="29" spans="1:10" x14ac:dyDescent="0.25">
      <c r="A29" s="13">
        <v>44312</v>
      </c>
      <c r="B29" s="13">
        <v>44272</v>
      </c>
      <c r="C29" t="s">
        <v>129</v>
      </c>
      <c r="D29" s="122">
        <v>569953277</v>
      </c>
      <c r="E29" s="6">
        <v>10.14</v>
      </c>
      <c r="F29">
        <v>1.69</v>
      </c>
      <c r="G29" s="6">
        <f t="shared" si="0"/>
        <v>8.4500000000000011</v>
      </c>
      <c r="H29" s="6">
        <f t="shared" si="1"/>
        <v>1.6900000000000002</v>
      </c>
      <c r="I29" t="b">
        <f t="shared" si="2"/>
        <v>1</v>
      </c>
      <c r="J29" t="s">
        <v>130</v>
      </c>
    </row>
    <row r="30" spans="1:10" x14ac:dyDescent="0.25">
      <c r="A30" s="13">
        <v>44312</v>
      </c>
      <c r="B30" s="13">
        <v>44273</v>
      </c>
      <c r="C30" t="s">
        <v>135</v>
      </c>
      <c r="D30" s="122">
        <v>206953796</v>
      </c>
      <c r="E30" s="6">
        <v>9.99</v>
      </c>
      <c r="F30">
        <v>1.67</v>
      </c>
      <c r="G30" s="6">
        <f t="shared" si="0"/>
        <v>8.32</v>
      </c>
      <c r="H30" s="6">
        <f t="shared" si="1"/>
        <v>1.665</v>
      </c>
      <c r="I30" t="b">
        <f t="shared" si="2"/>
        <v>0</v>
      </c>
      <c r="J30" t="s">
        <v>141</v>
      </c>
    </row>
    <row r="31" spans="1:10" x14ac:dyDescent="0.25">
      <c r="A31" s="13">
        <v>44312</v>
      </c>
      <c r="B31" s="13">
        <v>44292</v>
      </c>
      <c r="C31" t="s">
        <v>156</v>
      </c>
      <c r="D31">
        <v>265336202</v>
      </c>
      <c r="E31" s="6">
        <v>282</v>
      </c>
      <c r="F31">
        <v>47</v>
      </c>
      <c r="G31" s="6">
        <f t="shared" si="0"/>
        <v>235</v>
      </c>
      <c r="H31" s="6">
        <f t="shared" si="1"/>
        <v>47</v>
      </c>
      <c r="I31" t="b">
        <f t="shared" si="2"/>
        <v>1</v>
      </c>
      <c r="J31" t="s">
        <v>182</v>
      </c>
    </row>
    <row r="32" spans="1:10" x14ac:dyDescent="0.25">
      <c r="A32" s="13">
        <v>44312</v>
      </c>
      <c r="B32" s="13">
        <v>44285</v>
      </c>
      <c r="C32" t="s">
        <v>136</v>
      </c>
      <c r="D32" s="122">
        <v>186378167</v>
      </c>
      <c r="E32" s="6">
        <v>25.31</v>
      </c>
      <c r="F32">
        <v>4.22</v>
      </c>
      <c r="G32" s="6">
        <f t="shared" si="0"/>
        <v>21.09</v>
      </c>
      <c r="H32" s="6">
        <f t="shared" si="1"/>
        <v>4.2183333333333328</v>
      </c>
      <c r="I32" s="122" t="b">
        <f t="shared" si="2"/>
        <v>0</v>
      </c>
      <c r="J32" t="s">
        <v>140</v>
      </c>
    </row>
    <row r="33" spans="1:10" x14ac:dyDescent="0.25">
      <c r="A33" s="13">
        <v>44312</v>
      </c>
      <c r="B33" s="13">
        <v>44274</v>
      </c>
      <c r="C33" t="s">
        <v>160</v>
      </c>
      <c r="D33">
        <v>793932189</v>
      </c>
      <c r="E33" s="6">
        <v>884.99</v>
      </c>
      <c r="F33">
        <v>147.5</v>
      </c>
      <c r="G33" s="6">
        <f t="shared" si="0"/>
        <v>737.49</v>
      </c>
      <c r="H33" s="6">
        <f t="shared" si="1"/>
        <v>147.49833333333333</v>
      </c>
      <c r="I33" s="122" t="b">
        <f t="shared" si="2"/>
        <v>0</v>
      </c>
      <c r="J33" t="s">
        <v>183</v>
      </c>
    </row>
    <row r="34" spans="1:10" x14ac:dyDescent="0.25">
      <c r="A34" s="13">
        <v>44312</v>
      </c>
      <c r="B34" s="13">
        <v>44278</v>
      </c>
      <c r="C34" t="s">
        <v>114</v>
      </c>
      <c r="D34" s="122">
        <v>718314640</v>
      </c>
      <c r="E34" s="6">
        <v>33.6</v>
      </c>
      <c r="F34">
        <v>5.6</v>
      </c>
      <c r="G34" s="6">
        <f t="shared" si="0"/>
        <v>28</v>
      </c>
      <c r="H34" s="6">
        <f t="shared" si="1"/>
        <v>5.6000000000000005</v>
      </c>
      <c r="I34" t="b">
        <f t="shared" si="2"/>
        <v>1</v>
      </c>
      <c r="J34" t="s">
        <v>112</v>
      </c>
    </row>
    <row r="35" spans="1:10" x14ac:dyDescent="0.25">
      <c r="A35" s="13">
        <v>44312</v>
      </c>
      <c r="B35" s="13">
        <v>44264</v>
      </c>
      <c r="C35" t="s">
        <v>184</v>
      </c>
      <c r="D35">
        <v>845184023</v>
      </c>
      <c r="E35" s="6">
        <v>162</v>
      </c>
      <c r="F35">
        <v>27</v>
      </c>
      <c r="G35" s="6">
        <f t="shared" si="0"/>
        <v>135</v>
      </c>
      <c r="H35" s="6">
        <f t="shared" si="1"/>
        <v>27</v>
      </c>
      <c r="I35" t="b">
        <f t="shared" si="2"/>
        <v>1</v>
      </c>
      <c r="J35" t="s">
        <v>185</v>
      </c>
    </row>
    <row r="36" spans="1:10" x14ac:dyDescent="0.25">
      <c r="A36" s="13">
        <v>44312</v>
      </c>
      <c r="B36" s="13">
        <v>44270</v>
      </c>
      <c r="C36" t="s">
        <v>156</v>
      </c>
      <c r="D36" s="122">
        <v>265336202</v>
      </c>
      <c r="E36" s="6">
        <v>780</v>
      </c>
      <c r="F36">
        <v>130</v>
      </c>
      <c r="G36" s="6">
        <f t="shared" si="0"/>
        <v>650</v>
      </c>
      <c r="H36" s="6">
        <f t="shared" si="1"/>
        <v>130</v>
      </c>
      <c r="I36" t="b">
        <f t="shared" si="2"/>
        <v>1</v>
      </c>
      <c r="J36" t="s">
        <v>186</v>
      </c>
    </row>
    <row r="37" spans="1:10" s="122" customFormat="1" x14ac:dyDescent="0.25">
      <c r="A37" s="158">
        <v>44321</v>
      </c>
      <c r="B37" s="97">
        <v>44321</v>
      </c>
      <c r="C37" s="37" t="s">
        <v>114</v>
      </c>
      <c r="D37" s="153">
        <v>718314640</v>
      </c>
      <c r="E37" s="6">
        <v>4.8</v>
      </c>
      <c r="F37" s="29">
        <v>0.8</v>
      </c>
      <c r="G37" s="6">
        <f t="shared" si="0"/>
        <v>4</v>
      </c>
      <c r="H37" s="6">
        <f t="shared" si="1"/>
        <v>0.79999999999999993</v>
      </c>
      <c r="I37" s="122" t="b">
        <f t="shared" si="2"/>
        <v>1</v>
      </c>
      <c r="J37" s="153" t="s">
        <v>112</v>
      </c>
    </row>
    <row r="38" spans="1:10" s="122" customFormat="1" x14ac:dyDescent="0.25">
      <c r="A38" s="158">
        <v>44321</v>
      </c>
      <c r="B38" s="97">
        <v>44321</v>
      </c>
      <c r="C38" s="37" t="s">
        <v>198</v>
      </c>
      <c r="D38" s="153">
        <v>206953796</v>
      </c>
      <c r="E38" s="6">
        <v>9.99</v>
      </c>
      <c r="F38" s="29">
        <f>9.99*20/120</f>
        <v>1.665</v>
      </c>
      <c r="G38" s="6">
        <f t="shared" si="0"/>
        <v>8.3249999999999993</v>
      </c>
      <c r="H38" s="6">
        <f t="shared" si="1"/>
        <v>1.665</v>
      </c>
      <c r="I38" s="122" t="b">
        <f t="shared" si="2"/>
        <v>1</v>
      </c>
      <c r="J38" s="153" t="s">
        <v>141</v>
      </c>
    </row>
    <row r="39" spans="1:10" s="122" customFormat="1" x14ac:dyDescent="0.25">
      <c r="A39" s="158">
        <v>44321</v>
      </c>
      <c r="B39" s="97">
        <v>44321</v>
      </c>
      <c r="C39" s="37" t="s">
        <v>129</v>
      </c>
      <c r="D39" s="153">
        <v>569953277</v>
      </c>
      <c r="E39" s="6">
        <v>10.28</v>
      </c>
      <c r="F39" s="29">
        <f>10.28*20/120</f>
        <v>1.7133333333333334</v>
      </c>
      <c r="G39" s="6">
        <f t="shared" ref="G39" si="3">SUM(E39-F39)</f>
        <v>8.5666666666666664</v>
      </c>
      <c r="H39" s="6">
        <f t="shared" ref="H39" si="4">E39/6</f>
        <v>1.7133333333333332</v>
      </c>
      <c r="I39" s="122" t="b">
        <f t="shared" ref="I39" si="5">H39=F39</f>
        <v>1</v>
      </c>
      <c r="J39" s="153" t="s">
        <v>130</v>
      </c>
    </row>
    <row r="40" spans="1:10" s="122" customFormat="1" x14ac:dyDescent="0.25">
      <c r="A40" s="158">
        <v>44321</v>
      </c>
      <c r="B40" s="97">
        <v>44321</v>
      </c>
      <c r="C40" s="37" t="s">
        <v>188</v>
      </c>
      <c r="D40" s="153">
        <v>265336202</v>
      </c>
      <c r="E40" s="6">
        <v>156</v>
      </c>
      <c r="F40" s="30">
        <v>26</v>
      </c>
      <c r="G40" s="6">
        <f t="shared" si="0"/>
        <v>130</v>
      </c>
      <c r="H40" s="6">
        <f t="shared" si="1"/>
        <v>26</v>
      </c>
      <c r="I40" s="122" t="b">
        <f t="shared" si="2"/>
        <v>1</v>
      </c>
      <c r="J40" s="153" t="s">
        <v>182</v>
      </c>
    </row>
    <row r="41" spans="1:10" s="122" customFormat="1" x14ac:dyDescent="0.25">
      <c r="A41" s="158">
        <v>44333</v>
      </c>
      <c r="B41" s="97">
        <v>44333</v>
      </c>
      <c r="C41" s="37" t="s">
        <v>198</v>
      </c>
      <c r="D41" s="153">
        <v>206953796</v>
      </c>
      <c r="E41" s="6">
        <v>9.99</v>
      </c>
      <c r="F41" s="29">
        <f>9.99*20/120</f>
        <v>1.665</v>
      </c>
      <c r="G41" s="6">
        <f t="shared" ref="G41:G42" si="6">SUM(E41-F41)</f>
        <v>8.3249999999999993</v>
      </c>
      <c r="H41" s="6">
        <f t="shared" ref="H41:H42" si="7">E41/6</f>
        <v>1.665</v>
      </c>
      <c r="I41" s="122" t="b">
        <f t="shared" si="2"/>
        <v>1</v>
      </c>
      <c r="J41" s="153" t="s">
        <v>141</v>
      </c>
    </row>
    <row r="42" spans="1:10" s="122" customFormat="1" x14ac:dyDescent="0.25">
      <c r="A42" s="158">
        <v>44333</v>
      </c>
      <c r="B42" s="97">
        <v>44333</v>
      </c>
      <c r="C42" s="37" t="s">
        <v>129</v>
      </c>
      <c r="D42" s="153">
        <v>569953277</v>
      </c>
      <c r="E42" s="6">
        <v>10.28</v>
      </c>
      <c r="F42" s="29">
        <f>10.28*20/120</f>
        <v>1.7133333333333334</v>
      </c>
      <c r="G42" s="6">
        <f t="shared" si="6"/>
        <v>8.5666666666666664</v>
      </c>
      <c r="H42" s="6">
        <f t="shared" si="7"/>
        <v>1.7133333333333332</v>
      </c>
      <c r="I42" s="122" t="b">
        <f t="shared" si="2"/>
        <v>1</v>
      </c>
      <c r="J42" s="153" t="s">
        <v>130</v>
      </c>
    </row>
    <row r="43" spans="1:10" s="122" customFormat="1" x14ac:dyDescent="0.25">
      <c r="A43" s="158">
        <v>44333</v>
      </c>
      <c r="B43" s="97">
        <v>44333</v>
      </c>
      <c r="C43" s="37" t="s">
        <v>192</v>
      </c>
      <c r="D43" s="153">
        <v>187551082</v>
      </c>
      <c r="E43" s="6">
        <v>151.19999999999999</v>
      </c>
      <c r="F43" s="30">
        <v>25.2</v>
      </c>
      <c r="G43" s="6">
        <f t="shared" si="0"/>
        <v>125.99999999999999</v>
      </c>
      <c r="H43" s="6">
        <f t="shared" si="1"/>
        <v>25.2</v>
      </c>
      <c r="I43" s="122" t="b">
        <f t="shared" si="2"/>
        <v>1</v>
      </c>
      <c r="J43" s="153" t="s">
        <v>111</v>
      </c>
    </row>
    <row r="44" spans="1:10" s="122" customFormat="1" x14ac:dyDescent="0.25">
      <c r="A44" s="158">
        <v>44314</v>
      </c>
      <c r="B44" s="133">
        <v>44333</v>
      </c>
      <c r="C44" s="37" t="s">
        <v>191</v>
      </c>
      <c r="D44" s="153">
        <v>794939064</v>
      </c>
      <c r="E44" s="6">
        <v>1279.94</v>
      </c>
      <c r="F44" s="122">
        <v>213.32</v>
      </c>
      <c r="G44" s="6">
        <f t="shared" si="0"/>
        <v>1066.6200000000001</v>
      </c>
      <c r="H44" s="6">
        <f t="shared" si="1"/>
        <v>213.32333333333335</v>
      </c>
      <c r="I44" s="122" t="b">
        <f t="shared" si="2"/>
        <v>0</v>
      </c>
      <c r="J44" s="153" t="s">
        <v>253</v>
      </c>
    </row>
    <row r="45" spans="1:10" s="122" customFormat="1" x14ac:dyDescent="0.25">
      <c r="A45" s="158">
        <v>44333</v>
      </c>
      <c r="B45" s="13">
        <v>44351</v>
      </c>
      <c r="C45" s="122" t="s">
        <v>114</v>
      </c>
      <c r="D45" s="153">
        <v>718314640</v>
      </c>
      <c r="E45" s="6">
        <v>4.8</v>
      </c>
      <c r="F45" s="122">
        <v>0.8</v>
      </c>
      <c r="G45" s="6">
        <f t="shared" si="0"/>
        <v>4</v>
      </c>
      <c r="H45" s="6">
        <f t="shared" si="1"/>
        <v>0.79999999999999993</v>
      </c>
      <c r="I45" s="122" t="b">
        <f t="shared" si="2"/>
        <v>1</v>
      </c>
      <c r="J45" s="153" t="s">
        <v>112</v>
      </c>
    </row>
    <row r="46" spans="1:10" s="122" customFormat="1" x14ac:dyDescent="0.25">
      <c r="A46" s="158">
        <v>44389</v>
      </c>
      <c r="B46" s="13">
        <v>44368</v>
      </c>
      <c r="C46" s="122" t="s">
        <v>203</v>
      </c>
      <c r="D46" s="153">
        <v>286149962</v>
      </c>
      <c r="E46" s="6">
        <v>21.6</v>
      </c>
      <c r="F46" s="122">
        <v>3.6</v>
      </c>
      <c r="G46" s="6">
        <f t="shared" si="0"/>
        <v>18</v>
      </c>
      <c r="H46" s="6">
        <f t="shared" si="1"/>
        <v>3.6</v>
      </c>
      <c r="I46" s="122" t="b">
        <f t="shared" si="2"/>
        <v>1</v>
      </c>
      <c r="J46" s="153" t="s">
        <v>147</v>
      </c>
    </row>
    <row r="47" spans="1:10" s="122" customFormat="1" x14ac:dyDescent="0.25">
      <c r="A47" s="158">
        <v>44389</v>
      </c>
      <c r="B47" s="147">
        <v>44390</v>
      </c>
      <c r="C47" s="97" t="s">
        <v>114</v>
      </c>
      <c r="D47" s="153">
        <v>718314640</v>
      </c>
      <c r="E47" s="6">
        <v>4.8</v>
      </c>
      <c r="F47" s="122">
        <v>0.8</v>
      </c>
      <c r="G47" s="6">
        <f t="shared" ref="G47:G50" si="8">SUM(E47-F47)</f>
        <v>4</v>
      </c>
      <c r="H47" s="6">
        <f t="shared" ref="H47:H50" si="9">E47/6</f>
        <v>0.79999999999999993</v>
      </c>
      <c r="I47" s="122" t="b">
        <f t="shared" ref="I47:I50" si="10">H47=F47</f>
        <v>1</v>
      </c>
      <c r="J47" s="153" t="s">
        <v>112</v>
      </c>
    </row>
    <row r="48" spans="1:10" s="122" customFormat="1" x14ac:dyDescent="0.25">
      <c r="A48" s="158">
        <v>44389</v>
      </c>
      <c r="B48" s="147">
        <v>44390</v>
      </c>
      <c r="C48" s="29" t="s">
        <v>156</v>
      </c>
      <c r="D48" s="153">
        <v>265336202</v>
      </c>
      <c r="E48" s="6">
        <v>1146</v>
      </c>
      <c r="F48" s="122">
        <v>191</v>
      </c>
      <c r="G48" s="6">
        <f t="shared" si="8"/>
        <v>955</v>
      </c>
      <c r="H48" s="6">
        <f t="shared" si="9"/>
        <v>191</v>
      </c>
      <c r="I48" s="122" t="b">
        <f t="shared" si="10"/>
        <v>1</v>
      </c>
      <c r="J48" s="153" t="s">
        <v>186</v>
      </c>
    </row>
    <row r="49" spans="1:10" s="122" customFormat="1" x14ac:dyDescent="0.25">
      <c r="A49" s="158">
        <v>44389</v>
      </c>
      <c r="B49" s="147">
        <v>44390</v>
      </c>
      <c r="C49" s="29" t="s">
        <v>89</v>
      </c>
      <c r="D49" s="153">
        <v>685644393</v>
      </c>
      <c r="E49" s="6">
        <v>120</v>
      </c>
      <c r="F49" s="122">
        <v>20</v>
      </c>
      <c r="G49" s="6">
        <f t="shared" si="8"/>
        <v>100</v>
      </c>
      <c r="H49" s="6">
        <f t="shared" si="9"/>
        <v>20</v>
      </c>
      <c r="I49" s="122" t="b">
        <f t="shared" si="10"/>
        <v>1</v>
      </c>
      <c r="J49" s="153" t="s">
        <v>111</v>
      </c>
    </row>
    <row r="50" spans="1:10" s="122" customFormat="1" x14ac:dyDescent="0.25">
      <c r="A50" s="28">
        <v>44400</v>
      </c>
      <c r="B50" s="150">
        <v>44400</v>
      </c>
      <c r="C50" s="9" t="s">
        <v>206</v>
      </c>
      <c r="D50" s="153">
        <v>182088650</v>
      </c>
      <c r="E50" s="6">
        <v>412.73166666666668</v>
      </c>
      <c r="F50" s="122">
        <v>68.790000000000006</v>
      </c>
      <c r="G50" s="6">
        <f t="shared" si="8"/>
        <v>343.94166666666666</v>
      </c>
      <c r="H50" s="6">
        <f t="shared" si="9"/>
        <v>68.788611111111109</v>
      </c>
      <c r="I50" s="122" t="b">
        <f t="shared" si="10"/>
        <v>0</v>
      </c>
      <c r="J50" s="153" t="s">
        <v>254</v>
      </c>
    </row>
    <row r="51" spans="1:10" s="153" customFormat="1" x14ac:dyDescent="0.25">
      <c r="A51" s="28">
        <v>44418</v>
      </c>
      <c r="B51" s="150">
        <v>44418</v>
      </c>
      <c r="C51" s="97" t="s">
        <v>114</v>
      </c>
      <c r="D51" s="153">
        <v>718314640</v>
      </c>
      <c r="E51" s="142">
        <v>4.8</v>
      </c>
      <c r="F51" s="153">
        <v>0.8</v>
      </c>
      <c r="G51" s="154">
        <f t="shared" ref="G51:G61" si="11">SUM(E51-F51)</f>
        <v>4</v>
      </c>
      <c r="H51" s="154">
        <f t="shared" ref="H51:H61" si="12">E51/6</f>
        <v>0.79999999999999993</v>
      </c>
      <c r="I51" s="153" t="b">
        <f t="shared" ref="I51:I61" si="13">H51=F51</f>
        <v>1</v>
      </c>
      <c r="J51" s="153" t="s">
        <v>112</v>
      </c>
    </row>
    <row r="52" spans="1:10" s="153" customFormat="1" x14ac:dyDescent="0.25">
      <c r="A52" s="28">
        <v>44419</v>
      </c>
      <c r="B52" s="150">
        <v>44419</v>
      </c>
      <c r="C52" s="9" t="s">
        <v>222</v>
      </c>
      <c r="D52" s="153">
        <v>592526420</v>
      </c>
      <c r="E52" s="142">
        <v>1962</v>
      </c>
      <c r="F52" s="153">
        <v>327</v>
      </c>
      <c r="G52" s="154">
        <f t="shared" si="11"/>
        <v>1635</v>
      </c>
      <c r="H52" s="154">
        <f t="shared" si="12"/>
        <v>327</v>
      </c>
      <c r="I52" s="153" t="b">
        <f t="shared" si="13"/>
        <v>1</v>
      </c>
      <c r="J52" s="153" t="s">
        <v>255</v>
      </c>
    </row>
    <row r="53" spans="1:10" s="153" customFormat="1" x14ac:dyDescent="0.25">
      <c r="A53" s="28">
        <v>44428</v>
      </c>
      <c r="B53" s="150">
        <v>44428</v>
      </c>
      <c r="C53" s="9" t="s">
        <v>224</v>
      </c>
      <c r="D53" s="153">
        <v>845189106</v>
      </c>
      <c r="E53" s="154">
        <v>545</v>
      </c>
      <c r="F53" s="153">
        <v>90.83</v>
      </c>
      <c r="G53" s="154">
        <f t="shared" si="11"/>
        <v>454.17</v>
      </c>
      <c r="H53" s="154">
        <f t="shared" si="12"/>
        <v>90.833333333333329</v>
      </c>
      <c r="I53" s="153" t="b">
        <f t="shared" si="13"/>
        <v>0</v>
      </c>
      <c r="J53" s="153" t="s">
        <v>256</v>
      </c>
    </row>
    <row r="54" spans="1:10" s="153" customFormat="1" x14ac:dyDescent="0.25">
      <c r="A54" s="28">
        <v>44453</v>
      </c>
      <c r="B54" s="150">
        <v>44453</v>
      </c>
      <c r="C54" s="9" t="s">
        <v>230</v>
      </c>
      <c r="D54" s="153">
        <v>120431530</v>
      </c>
      <c r="E54" s="154">
        <v>360</v>
      </c>
      <c r="F54" s="153">
        <v>60</v>
      </c>
      <c r="G54" s="154">
        <f t="shared" ref="G54:G56" si="14">SUM(E54-F54)</f>
        <v>300</v>
      </c>
      <c r="H54" s="154">
        <f t="shared" ref="H54:H56" si="15">E54/6</f>
        <v>60</v>
      </c>
      <c r="I54" s="153" t="b">
        <f t="shared" ref="I54:I56" si="16">H54=F54</f>
        <v>1</v>
      </c>
      <c r="J54" s="153" t="s">
        <v>257</v>
      </c>
    </row>
    <row r="55" spans="1:10" s="153" customFormat="1" x14ac:dyDescent="0.25">
      <c r="A55" s="28">
        <v>44453</v>
      </c>
      <c r="B55" s="150">
        <v>44453</v>
      </c>
      <c r="C55" s="9" t="s">
        <v>231</v>
      </c>
      <c r="D55" s="153">
        <v>265336202</v>
      </c>
      <c r="E55" s="154">
        <v>1020</v>
      </c>
      <c r="F55" s="153">
        <v>170</v>
      </c>
      <c r="G55" s="154">
        <f t="shared" si="14"/>
        <v>850</v>
      </c>
      <c r="H55" s="154">
        <f t="shared" si="15"/>
        <v>170</v>
      </c>
      <c r="I55" s="153" t="b">
        <f t="shared" si="16"/>
        <v>1</v>
      </c>
      <c r="J55" s="153" t="s">
        <v>186</v>
      </c>
    </row>
    <row r="56" spans="1:10" s="153" customFormat="1" x14ac:dyDescent="0.25">
      <c r="A56" s="28">
        <v>44453</v>
      </c>
      <c r="B56" s="150">
        <v>44453</v>
      </c>
      <c r="C56" s="9" t="s">
        <v>114</v>
      </c>
      <c r="D56" s="153">
        <v>718314640</v>
      </c>
      <c r="E56" s="154">
        <v>4.8</v>
      </c>
      <c r="F56" s="153">
        <v>0.8</v>
      </c>
      <c r="G56" s="154">
        <f t="shared" si="14"/>
        <v>4</v>
      </c>
      <c r="H56" s="154">
        <f t="shared" si="15"/>
        <v>0.79999999999999993</v>
      </c>
      <c r="I56" s="153" t="b">
        <f t="shared" si="16"/>
        <v>1</v>
      </c>
      <c r="J56" s="153" t="s">
        <v>112</v>
      </c>
    </row>
    <row r="57" spans="1:10" s="153" customFormat="1" x14ac:dyDescent="0.25">
      <c r="A57" s="158">
        <v>44476</v>
      </c>
      <c r="B57" s="150">
        <v>44476</v>
      </c>
      <c r="C57" s="9" t="s">
        <v>238</v>
      </c>
      <c r="E57" s="154">
        <v>19.2</v>
      </c>
      <c r="F57" s="153">
        <v>3.2</v>
      </c>
      <c r="G57" s="154">
        <f t="shared" si="11"/>
        <v>16</v>
      </c>
      <c r="H57" s="154">
        <f t="shared" si="12"/>
        <v>3.1999999999999997</v>
      </c>
      <c r="I57" s="153" t="b">
        <f t="shared" si="13"/>
        <v>1</v>
      </c>
      <c r="J57" s="153" t="s">
        <v>258</v>
      </c>
    </row>
    <row r="58" spans="1:10" s="153" customFormat="1" x14ac:dyDescent="0.25">
      <c r="A58" s="158">
        <v>44481</v>
      </c>
      <c r="B58" s="150">
        <v>44481</v>
      </c>
      <c r="C58" s="9" t="s">
        <v>240</v>
      </c>
      <c r="D58" s="153">
        <v>286149962</v>
      </c>
      <c r="E58" s="154">
        <v>64.8</v>
      </c>
      <c r="F58" s="153">
        <v>10.8</v>
      </c>
      <c r="G58" s="154">
        <f t="shared" si="11"/>
        <v>54</v>
      </c>
      <c r="H58" s="154">
        <f t="shared" si="12"/>
        <v>10.799999999999999</v>
      </c>
      <c r="I58" s="153" t="b">
        <f t="shared" si="13"/>
        <v>1</v>
      </c>
      <c r="J58" s="153" t="s">
        <v>147</v>
      </c>
    </row>
    <row r="59" spans="1:10" s="122" customFormat="1" x14ac:dyDescent="0.25">
      <c r="A59" s="150">
        <v>44481</v>
      </c>
      <c r="B59" s="150">
        <v>44481</v>
      </c>
      <c r="C59" s="9" t="s">
        <v>114</v>
      </c>
      <c r="D59" s="122">
        <v>718314640</v>
      </c>
      <c r="E59" s="6">
        <v>4.8</v>
      </c>
      <c r="F59" s="122">
        <v>0.8</v>
      </c>
      <c r="G59" s="154">
        <f t="shared" si="11"/>
        <v>4</v>
      </c>
      <c r="H59" s="154">
        <f t="shared" si="12"/>
        <v>0.79999999999999993</v>
      </c>
      <c r="I59" s="153" t="b">
        <f t="shared" si="13"/>
        <v>1</v>
      </c>
      <c r="J59" s="153" t="s">
        <v>112</v>
      </c>
    </row>
    <row r="60" spans="1:10" s="122" customFormat="1" x14ac:dyDescent="0.25">
      <c r="A60" s="150">
        <v>44481</v>
      </c>
      <c r="B60" s="150">
        <v>44481</v>
      </c>
      <c r="C60" s="9" t="s">
        <v>231</v>
      </c>
      <c r="D60" s="122">
        <v>265336202</v>
      </c>
      <c r="E60" s="6">
        <v>312</v>
      </c>
      <c r="F60" s="122">
        <v>52</v>
      </c>
      <c r="G60" s="154">
        <f t="shared" si="11"/>
        <v>260</v>
      </c>
      <c r="H60" s="154">
        <f t="shared" si="12"/>
        <v>52</v>
      </c>
      <c r="I60" s="153" t="b">
        <f t="shared" si="13"/>
        <v>1</v>
      </c>
      <c r="J60" s="153" t="s">
        <v>182</v>
      </c>
    </row>
    <row r="61" spans="1:10" x14ac:dyDescent="0.25">
      <c r="A61" s="13">
        <v>44497</v>
      </c>
      <c r="B61" s="150">
        <v>44497</v>
      </c>
      <c r="C61" s="9" t="s">
        <v>243</v>
      </c>
      <c r="D61">
        <v>604266266</v>
      </c>
      <c r="E61" s="6">
        <v>41.4</v>
      </c>
      <c r="F61">
        <v>6.9</v>
      </c>
      <c r="G61" s="154">
        <f t="shared" si="11"/>
        <v>34.5</v>
      </c>
      <c r="H61" s="154">
        <f t="shared" si="12"/>
        <v>6.8999999999999995</v>
      </c>
      <c r="I61" s="153" t="b">
        <f t="shared" si="13"/>
        <v>1</v>
      </c>
      <c r="J61" t="s">
        <v>259</v>
      </c>
    </row>
    <row r="62" spans="1:10" s="153" customFormat="1" x14ac:dyDescent="0.25">
      <c r="A62" s="150">
        <v>44509</v>
      </c>
      <c r="B62" s="150">
        <v>44508</v>
      </c>
      <c r="C62" s="9" t="s">
        <v>238</v>
      </c>
      <c r="E62" s="154">
        <v>19.2</v>
      </c>
      <c r="F62" s="153">
        <v>3.2</v>
      </c>
      <c r="G62" s="154">
        <f t="shared" ref="G62:G66" si="17">SUM(E62-F62)</f>
        <v>16</v>
      </c>
      <c r="H62" s="154">
        <f t="shared" ref="H62:H66" si="18">E62/6</f>
        <v>3.1999999999999997</v>
      </c>
      <c r="I62" s="153" t="b">
        <f t="shared" ref="I62:I66" si="19">H62=F62</f>
        <v>1</v>
      </c>
      <c r="J62" s="153" t="s">
        <v>258</v>
      </c>
    </row>
    <row r="63" spans="1:10" s="153" customFormat="1" x14ac:dyDescent="0.25">
      <c r="A63" s="150">
        <v>44509</v>
      </c>
      <c r="B63" s="150">
        <v>44509</v>
      </c>
      <c r="C63" s="9" t="s">
        <v>231</v>
      </c>
      <c r="D63" s="153">
        <v>265336202</v>
      </c>
      <c r="E63" s="154">
        <v>438</v>
      </c>
      <c r="F63" s="153">
        <v>73</v>
      </c>
      <c r="G63" s="154">
        <f t="shared" si="17"/>
        <v>365</v>
      </c>
      <c r="H63" s="154">
        <f t="shared" si="18"/>
        <v>73</v>
      </c>
      <c r="I63" s="153" t="b">
        <f t="shared" si="19"/>
        <v>1</v>
      </c>
      <c r="J63" s="153" t="s">
        <v>182</v>
      </c>
    </row>
    <row r="64" spans="1:10" s="153" customFormat="1" x14ac:dyDescent="0.25">
      <c r="A64" s="150">
        <v>44509</v>
      </c>
      <c r="B64" s="150">
        <v>44509</v>
      </c>
      <c r="C64" s="9" t="s">
        <v>203</v>
      </c>
      <c r="D64" s="153">
        <v>286149962</v>
      </c>
      <c r="E64" s="154">
        <v>43.2</v>
      </c>
      <c r="F64" s="153">
        <v>7.2</v>
      </c>
      <c r="G64" s="154">
        <f t="shared" si="17"/>
        <v>36</v>
      </c>
      <c r="H64" s="154">
        <f t="shared" si="18"/>
        <v>7.2</v>
      </c>
      <c r="I64" s="153" t="b">
        <f t="shared" si="19"/>
        <v>1</v>
      </c>
      <c r="J64" s="153" t="s">
        <v>147</v>
      </c>
    </row>
    <row r="65" spans="1:10" s="153" customFormat="1" x14ac:dyDescent="0.25">
      <c r="A65" s="150">
        <v>44509</v>
      </c>
      <c r="B65" s="150">
        <v>44509</v>
      </c>
      <c r="C65" s="9" t="s">
        <v>114</v>
      </c>
      <c r="D65" s="153">
        <v>718314640</v>
      </c>
      <c r="E65" s="154">
        <v>4.8</v>
      </c>
      <c r="F65" s="153">
        <v>0.8</v>
      </c>
      <c r="G65" s="154">
        <f t="shared" si="17"/>
        <v>4</v>
      </c>
      <c r="H65" s="154">
        <f t="shared" si="18"/>
        <v>0.79999999999999993</v>
      </c>
      <c r="I65" s="153" t="b">
        <f t="shared" si="19"/>
        <v>1</v>
      </c>
      <c r="J65" s="153" t="s">
        <v>112</v>
      </c>
    </row>
    <row r="66" spans="1:10" s="153" customFormat="1" x14ac:dyDescent="0.25">
      <c r="A66" s="150">
        <v>44509</v>
      </c>
      <c r="B66" s="150">
        <v>44509</v>
      </c>
      <c r="C66" s="9" t="s">
        <v>160</v>
      </c>
      <c r="D66" s="153">
        <v>793932189</v>
      </c>
      <c r="E66" s="154">
        <v>990</v>
      </c>
      <c r="F66" s="153">
        <v>165</v>
      </c>
      <c r="G66" s="154">
        <f t="shared" si="17"/>
        <v>825</v>
      </c>
      <c r="H66" s="154">
        <f t="shared" si="18"/>
        <v>165</v>
      </c>
      <c r="I66" s="153" t="b">
        <f t="shared" si="19"/>
        <v>1</v>
      </c>
      <c r="J66" s="153" t="s">
        <v>183</v>
      </c>
    </row>
    <row r="67" spans="1:10" s="153" customFormat="1" x14ac:dyDescent="0.25">
      <c r="A67" s="158"/>
      <c r="B67" s="150"/>
      <c r="C67" s="9"/>
      <c r="E67" s="154"/>
      <c r="G67" s="154"/>
      <c r="H67" s="154"/>
    </row>
    <row r="68" spans="1:10" s="153" customFormat="1" x14ac:dyDescent="0.25">
      <c r="A68" s="158"/>
      <c r="B68" s="150"/>
      <c r="C68" s="9"/>
      <c r="E68" s="154"/>
      <c r="G68" s="154"/>
      <c r="H68" s="154"/>
    </row>
    <row r="69" spans="1:10" s="153" customFormat="1" x14ac:dyDescent="0.25">
      <c r="A69" s="158"/>
      <c r="B69" s="150"/>
      <c r="C69" s="9"/>
      <c r="E69" s="154"/>
      <c r="G69" s="154"/>
      <c r="H69" s="154"/>
    </row>
    <row r="70" spans="1:10" s="153" customFormat="1" x14ac:dyDescent="0.25">
      <c r="A70" s="158"/>
      <c r="B70" s="150"/>
      <c r="C70" s="9"/>
      <c r="E70" s="154"/>
      <c r="G70" s="154"/>
      <c r="H70" s="154"/>
    </row>
    <row r="71" spans="1:10" s="153" customFormat="1" x14ac:dyDescent="0.25">
      <c r="A71" s="158"/>
      <c r="B71" s="150"/>
      <c r="C71" s="9"/>
      <c r="E71" s="154"/>
      <c r="G71" s="154"/>
      <c r="H71" s="154"/>
    </row>
    <row r="72" spans="1:10" s="153" customFormat="1" x14ac:dyDescent="0.25">
      <c r="A72" s="158"/>
      <c r="B72" s="150"/>
      <c r="C72" s="9"/>
      <c r="E72" s="154"/>
      <c r="G72" s="154"/>
      <c r="H72" s="154"/>
    </row>
    <row r="73" spans="1:10" s="153" customFormat="1" x14ac:dyDescent="0.25">
      <c r="A73" s="158"/>
      <c r="B73" s="150"/>
      <c r="C73" s="9"/>
      <c r="E73" s="154"/>
      <c r="G73" s="154"/>
      <c r="H73" s="154"/>
    </row>
    <row r="75" spans="1:10" s="39" customFormat="1" x14ac:dyDescent="0.25">
      <c r="A75" s="140"/>
      <c r="B75" s="140"/>
      <c r="D75" s="39" t="s">
        <v>187</v>
      </c>
      <c r="E75" s="47"/>
      <c r="F75" s="39">
        <f>SUM(F18:F74)</f>
        <v>1966.9066666666665</v>
      </c>
      <c r="G75" s="47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Expenditure Profile</vt:lpstr>
      <vt:lpstr>Expenditure Other</vt:lpstr>
      <vt:lpstr>Expenditure</vt:lpstr>
      <vt:lpstr>Bank Reconciliation</vt:lpstr>
      <vt:lpstr>Receipts</vt:lpstr>
      <vt:lpstr>Payments</vt:lpstr>
      <vt:lpstr>VAT 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Tetsworth PC</dc:creator>
  <cp:lastModifiedBy>Kim</cp:lastModifiedBy>
  <cp:lastPrinted>2019-10-08T17:32:15Z</cp:lastPrinted>
  <dcterms:created xsi:type="dcterms:W3CDTF">2018-04-30T13:55:37Z</dcterms:created>
  <dcterms:modified xsi:type="dcterms:W3CDTF">2021-12-09T08:45:21Z</dcterms:modified>
</cp:coreProperties>
</file>